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hared drives\DEDAT 2020\Report 4 - 31th March\Evidence Folder 4\Energy\Green Finance\"/>
    </mc:Choice>
  </mc:AlternateContent>
  <bookViews>
    <workbookView xWindow="0" yWindow="0" windowWidth="15345" windowHeight="4575" tabRatio="810" firstSheet="1" activeTab="6"/>
  </bookViews>
  <sheets>
    <sheet name="Government Dept." sheetId="3" r:id="rId1"/>
    <sheet name="Development Finance Inst." sheetId="5" r:id="rId2"/>
    <sheet name="Commercial banks" sheetId="4" r:id="rId3"/>
    <sheet name="Private Equity" sheetId="6" r:id="rId4"/>
    <sheet name="Sovereign Fund" sheetId="7" r:id="rId5"/>
    <sheet name="Venture Capital" sheetId="8" r:id="rId6"/>
    <sheet name="Enterprise Development Pr." sheetId="9" r:id="rId7"/>
  </sheets>
  <definedNames>
    <definedName name="_xlnm._FilterDatabase" localSheetId="2" hidden="1">'Commercial banks'!$A$1:$L$16</definedName>
    <definedName name="_xlnm._FilterDatabase" localSheetId="1" hidden="1">'Development Finance Inst.'!$A$1:$L$23</definedName>
    <definedName name="_xlnm._FilterDatabase" localSheetId="0" hidden="1">'Government Dept.'!$A$1:$L$38</definedName>
    <definedName name="_xlnm._FilterDatabase" localSheetId="3" hidden="1">'Private Equity'!$A$1:$L$13</definedName>
    <definedName name="_xlnm._FilterDatabase" localSheetId="4" hidden="1">'Sovereign Fund'!$A$1:$L$9</definedName>
    <definedName name="_xlnm._FilterDatabase" localSheetId="5" hidden="1">'Venture Capital'!$A$1:$L$9</definedName>
  </definedNames>
  <calcPr calcId="162913"/>
</workbook>
</file>

<file path=xl/calcChain.xml><?xml version="1.0" encoding="utf-8"?>
<calcChain xmlns="http://schemas.openxmlformats.org/spreadsheetml/2006/main">
  <c r="K10" i="8" l="1"/>
  <c r="J10" i="8"/>
  <c r="J6" i="8"/>
  <c r="J39" i="3"/>
  <c r="K39" i="3"/>
  <c r="K3" i="8"/>
  <c r="J4" i="9"/>
  <c r="K3" i="9"/>
  <c r="J3" i="9"/>
  <c r="J38" i="3"/>
  <c r="K38" i="3"/>
  <c r="K2" i="9"/>
  <c r="K22" i="5"/>
  <c r="K23" i="5"/>
  <c r="J23" i="5"/>
  <c r="K16" i="4"/>
  <c r="K15" i="4"/>
  <c r="J22" i="5"/>
  <c r="K9" i="8" l="1"/>
  <c r="K8" i="8"/>
  <c r="K7" i="8"/>
  <c r="J7" i="8"/>
  <c r="K6" i="8"/>
  <c r="K5" i="8"/>
  <c r="J5" i="8"/>
  <c r="K4" i="8"/>
  <c r="J4" i="8"/>
  <c r="K2" i="8"/>
  <c r="K13" i="6" l="1"/>
  <c r="J13" i="6"/>
  <c r="K18" i="5"/>
  <c r="J18" i="5"/>
  <c r="K6" i="5"/>
  <c r="K5" i="5"/>
  <c r="K4" i="5"/>
  <c r="K9" i="7"/>
  <c r="K8" i="7"/>
  <c r="K12" i="6"/>
  <c r="K11" i="4"/>
  <c r="K8" i="4"/>
  <c r="K7" i="4"/>
  <c r="K5" i="4"/>
  <c r="K4" i="4"/>
  <c r="K21" i="5"/>
  <c r="K20" i="5"/>
  <c r="K17" i="5"/>
  <c r="K15" i="5"/>
  <c r="K12" i="5"/>
  <c r="K10" i="5"/>
  <c r="K37" i="3"/>
  <c r="K36" i="3"/>
  <c r="K35" i="3"/>
  <c r="K34" i="3"/>
  <c r="K32" i="3"/>
  <c r="K26" i="3"/>
  <c r="K25" i="3"/>
  <c r="K19" i="3"/>
  <c r="K18" i="3"/>
  <c r="J8" i="3"/>
  <c r="K8" i="3"/>
  <c r="K6" i="3"/>
  <c r="K5" i="3"/>
  <c r="K10" i="3"/>
  <c r="J9" i="7"/>
  <c r="J8" i="7"/>
  <c r="K7" i="7"/>
  <c r="J7" i="7"/>
  <c r="K6" i="7"/>
  <c r="K5" i="7"/>
  <c r="J5" i="7"/>
  <c r="K4" i="7"/>
  <c r="J4" i="7"/>
  <c r="K3" i="7"/>
  <c r="J3" i="7"/>
  <c r="K2" i="7"/>
  <c r="J2" i="7"/>
  <c r="K11" i="6" l="1"/>
  <c r="J11" i="6"/>
  <c r="K10" i="6"/>
  <c r="K8" i="6"/>
  <c r="J8" i="6"/>
  <c r="K7" i="6"/>
  <c r="J7" i="6"/>
  <c r="K6" i="6"/>
  <c r="J6" i="6"/>
  <c r="K5" i="6"/>
  <c r="J5" i="6"/>
  <c r="K4" i="6"/>
  <c r="K3" i="6"/>
  <c r="J3" i="6"/>
  <c r="K33" i="3"/>
  <c r="J33" i="3"/>
  <c r="K30" i="3"/>
  <c r="J30" i="3"/>
  <c r="K29" i="3"/>
  <c r="J29" i="3"/>
  <c r="K28" i="3"/>
  <c r="J28" i="3"/>
  <c r="K27" i="3"/>
  <c r="J27" i="3"/>
  <c r="K24" i="3"/>
  <c r="J24" i="3"/>
  <c r="K23" i="3"/>
  <c r="J23" i="3"/>
  <c r="K22" i="3"/>
  <c r="K21" i="3"/>
  <c r="K20" i="3"/>
  <c r="J18" i="3"/>
  <c r="K17" i="3"/>
  <c r="K16" i="3"/>
  <c r="K15" i="3"/>
  <c r="K14" i="3"/>
  <c r="K13" i="3"/>
  <c r="K12" i="3"/>
  <c r="K11" i="3"/>
  <c r="J11" i="3"/>
  <c r="K9" i="3"/>
  <c r="J9" i="3"/>
  <c r="K7" i="3"/>
  <c r="K4" i="3"/>
  <c r="J4" i="3"/>
  <c r="K3" i="3"/>
  <c r="K2" i="3"/>
  <c r="K19" i="5"/>
  <c r="J19" i="5"/>
  <c r="J17" i="5"/>
  <c r="K16" i="5"/>
  <c r="J16" i="5"/>
  <c r="J15" i="5"/>
  <c r="K14" i="5"/>
  <c r="J14" i="5"/>
  <c r="K13" i="5"/>
  <c r="J12" i="5"/>
  <c r="K11" i="5"/>
  <c r="J11" i="5"/>
  <c r="J10" i="5"/>
  <c r="K9" i="5"/>
  <c r="J9" i="5"/>
  <c r="K8" i="5"/>
  <c r="J8" i="5"/>
  <c r="K7" i="5"/>
  <c r="J5" i="5"/>
  <c r="J4" i="5"/>
  <c r="K3" i="5"/>
  <c r="J3" i="5"/>
  <c r="K2" i="5"/>
  <c r="K13" i="4"/>
  <c r="K12" i="4"/>
  <c r="J12" i="4"/>
  <c r="J11" i="4"/>
  <c r="K9" i="4"/>
  <c r="J9" i="4"/>
  <c r="K6" i="4"/>
  <c r="J6" i="4"/>
  <c r="J5" i="4"/>
  <c r="J4" i="4"/>
  <c r="K2" i="4"/>
  <c r="J2" i="4"/>
</calcChain>
</file>

<file path=xl/sharedStrings.xml><?xml version="1.0" encoding="utf-8"?>
<sst xmlns="http://schemas.openxmlformats.org/spreadsheetml/2006/main" count="944" uniqueCount="493">
  <si>
    <t>Financing institution type</t>
  </si>
  <si>
    <t>Entity name</t>
  </si>
  <si>
    <t>Contact Person</t>
  </si>
  <si>
    <t>Contact number</t>
  </si>
  <si>
    <t>Contact e-mail</t>
  </si>
  <si>
    <t>Website</t>
  </si>
  <si>
    <t>Commercial Bank</t>
  </si>
  <si>
    <t>ABSA</t>
  </si>
  <si>
    <t>Energy</t>
  </si>
  <si>
    <t>086 004 0302</t>
  </si>
  <si>
    <t>GroFin</t>
  </si>
  <si>
    <t>Investec</t>
  </si>
  <si>
    <t>Robert Gecelter or Fazel Moosa (Investec Head Office, Sandton)</t>
  </si>
  <si>
    <t>011 286 7221</t>
  </si>
  <si>
    <t>Merchant West</t>
  </si>
  <si>
    <t>Peter Paterson (Sales and Relationship Executive: Asset Finance)</t>
  </si>
  <si>
    <t>021 552 7007
083 255 1364</t>
  </si>
  <si>
    <t>Nedbank</t>
  </si>
  <si>
    <t>Grant</t>
  </si>
  <si>
    <t>021  657 6600</t>
  </si>
  <si>
    <t>Equity</t>
  </si>
  <si>
    <t>Jurie Swart (Head) or Makole Maponya (Portfolio Manager) or Sean Friend (Portfolio Manager)</t>
  </si>
  <si>
    <t>011 217 1737 
082 490 4809</t>
  </si>
  <si>
    <t>Sasfin</t>
  </si>
  <si>
    <t>Candice Pretorius</t>
  </si>
  <si>
    <t>011 809 7861</t>
  </si>
  <si>
    <t>SCF Capital Solutions</t>
  </si>
  <si>
    <t>Vonani Mabunda</t>
  </si>
  <si>
    <t>011 510 0080
072 062 6790</t>
  </si>
  <si>
    <t>Standard Bank</t>
  </si>
  <si>
    <t>DFI</t>
  </si>
  <si>
    <t>Development Bank of South Africa (DBSA)</t>
  </si>
  <si>
    <t>011 313 5050</t>
  </si>
  <si>
    <t>071 742 6081</t>
  </si>
  <si>
    <t>eep.eco@kpmg.fi</t>
  </si>
  <si>
    <t>European Investment Bank (EIB)</t>
  </si>
  <si>
    <t>012 425 0460</t>
  </si>
  <si>
    <t>Rawleston Moore or Saliha Dobardzic</t>
  </si>
  <si>
    <t>+1 202 473 0508</t>
  </si>
  <si>
    <t>German Bank for Reconstruction and Development (Kreditanstalt fur Wiederaufbau - KfW)</t>
  </si>
  <si>
    <t>For public entities focussing on energy and climate change.</t>
  </si>
  <si>
    <t>Busso Alvensleben (Director KfW Office Pretoria)</t>
  </si>
  <si>
    <t>012 423 6357</t>
  </si>
  <si>
    <t xml:space="preserve">German Investment Corporation (DEG)
</t>
  </si>
  <si>
    <t xml:space="preserve">Michael Fischer (Director, DEG Representative Office Johannesburg) </t>
  </si>
  <si>
    <t>011 507 2500</t>
  </si>
  <si>
    <t>Global Environmental Facility (GEF)</t>
  </si>
  <si>
    <t>Khathutshelo Neluheni</t>
  </si>
  <si>
    <t>012 354 8166</t>
  </si>
  <si>
    <t>Global Innovation Fund</t>
  </si>
  <si>
    <t>International Finance Corporation (IFC)</t>
  </si>
  <si>
    <t>Saleem Karimjee (Country Manager)</t>
  </si>
  <si>
    <t>011 731 3000</t>
  </si>
  <si>
    <t>Renewable Energy and Energy Efficiency Partnership (REEEP)</t>
  </si>
  <si>
    <t>Nicole Algio</t>
  </si>
  <si>
    <t>010 201 4763</t>
  </si>
  <si>
    <t>Development Bank of South Africa and South South North</t>
  </si>
  <si>
    <t>The African Development Bank</t>
  </si>
  <si>
    <t>United Nation Development Programme (UNDP)</t>
  </si>
  <si>
    <t>Anele Moyo or Motsei Choabi</t>
  </si>
  <si>
    <t>012 354 8166
012 354 8155</t>
  </si>
  <si>
    <t xml:space="preserve">World Bank </t>
  </si>
  <si>
    <t>Government Department</t>
  </si>
  <si>
    <t>Department of Energy (DoE)</t>
  </si>
  <si>
    <t>Department of Higher Education and Training (DHET)</t>
  </si>
  <si>
    <t xml:space="preserve">Grant </t>
  </si>
  <si>
    <t>National Skills Authority</t>
  </si>
  <si>
    <t xml:space="preserve">012 309 4469
012 309 4340
021 461 6030 </t>
  </si>
  <si>
    <t>infonsf@labour.gov.za</t>
  </si>
  <si>
    <t>Department of Science and Technology (DST)</t>
  </si>
  <si>
    <t>Rebate</t>
  </si>
  <si>
    <t>N/A</t>
  </si>
  <si>
    <t>Ms Dimakatso Mokone</t>
  </si>
  <si>
    <t>012 843 6560
012 843 6829</t>
  </si>
  <si>
    <t>Department of Small Business Development</t>
  </si>
  <si>
    <t>Department of Trade and Industry (dti)</t>
  </si>
  <si>
    <t>Crystal Papier or Andre Potgieter</t>
  </si>
  <si>
    <t>012 394 1069
012 394 1427</t>
  </si>
  <si>
    <t>CPapier@thedti.gov.za
Andre@thedti.gov.za</t>
  </si>
  <si>
    <t>Marinky Tshephe</t>
  </si>
  <si>
    <t>012 481 4060</t>
  </si>
  <si>
    <t>Strategic Partnership Programme (SPP) supports manufacturing and services supply capacity of suppliers with linkages to strategic partners' supply chains, industries or sectors</t>
  </si>
  <si>
    <t>Other</t>
  </si>
  <si>
    <t>Eskom</t>
  </si>
  <si>
    <t>Wayne Fortuin</t>
  </si>
  <si>
    <t>Wayne.Fortuin@eskom.co.za
Arend.Louw@eskom.co.za
Kiran.Ranchhod@eskom.co.za</t>
  </si>
  <si>
    <t>Industrial Development Corporation (IDC)</t>
  </si>
  <si>
    <t>Green business unit and credit line from AFD to finance EE/RE. Municipal projects included in their IDP, and approved by council and the CFO will receive funding.</t>
  </si>
  <si>
    <t>National Empowerment Fund</t>
  </si>
  <si>
    <t>Western Cape Office (other provincial offices available on the website)</t>
  </si>
  <si>
    <t>021 431 4760
086 1 63 3927</t>
  </si>
  <si>
    <t>National Research Foundation (NRF)</t>
  </si>
  <si>
    <t>Research/study funding for public tertiary institutions.</t>
  </si>
  <si>
    <t>Dr Eugene Lottering</t>
  </si>
  <si>
    <t>012 481 4000</t>
  </si>
  <si>
    <t>National Youth Development Agency</t>
  </si>
  <si>
    <t>Stephen Curry (Western Cape branch)</t>
  </si>
  <si>
    <t>021 415 2040</t>
  </si>
  <si>
    <t>Small Enterprise Development Agency (SEDA)</t>
  </si>
  <si>
    <t>012 441 1375</t>
  </si>
  <si>
    <t>Small Enterprise Finance Agency (sefa)</t>
  </si>
  <si>
    <t>Head office and Regional offices numbers on the website.</t>
  </si>
  <si>
    <t xml:space="preserve">012 748 9600 </t>
  </si>
  <si>
    <t>South Africa National Energy Development Institution (SANEDI)</t>
  </si>
  <si>
    <t>Barry Bredenkamp (Senior Manager)</t>
  </si>
  <si>
    <t>South African Revenue Services (SARS)</t>
  </si>
  <si>
    <t>Technology Innovation Agency (TIA)</t>
  </si>
  <si>
    <t>Financial support to proposals based on merit- full list of  criteria items listed on the website. SA companies, research and academic institutions.</t>
  </si>
  <si>
    <t>Private Equity</t>
  </si>
  <si>
    <t>Adlevo Capital</t>
  </si>
  <si>
    <t>Atlantic Asset Management</t>
  </si>
  <si>
    <t>021 418 7801</t>
  </si>
  <si>
    <t>info@atlanticam.com</t>
  </si>
  <si>
    <t>Business Partners</t>
  </si>
  <si>
    <t>-</t>
  </si>
  <si>
    <t>011 713 6600</t>
  </si>
  <si>
    <t>Inspired Evolution</t>
  </si>
  <si>
    <t>Christopher Clarke</t>
  </si>
  <si>
    <t>021 702 1290</t>
  </si>
  <si>
    <t>Persistent Energy Capital  (PEC)</t>
  </si>
  <si>
    <t>Senatla Capital</t>
  </si>
  <si>
    <t>Thato Tsotetsi</t>
  </si>
  <si>
    <t>011 784 5929</t>
  </si>
  <si>
    <t>Treacle Private Equity</t>
  </si>
  <si>
    <t>TriVest</t>
  </si>
  <si>
    <t>"TriVest is a leading provider of equity for growth capital financings, middle market corporate acquisitions and recapitalizations. Since its founding, TriVest has experienced a huge demand for capital in the early stage sector in Southern Africa, where innovative early-stage and start-up companies often lack the financial, managerial and network resources for expansion and growth."</t>
  </si>
  <si>
    <t>Sovereign Fund</t>
  </si>
  <si>
    <t>Embassy of Finland</t>
  </si>
  <si>
    <t>Entreupreuneurial Development Bank of Netherlands (FMO)</t>
  </si>
  <si>
    <t>Mr. Ewout van der Molen (Regional Representative Southern Africa)</t>
  </si>
  <si>
    <t>Martha Stein-Sochas (Johannesburg Manager)</t>
  </si>
  <si>
    <t>011 540 7100</t>
  </si>
  <si>
    <t>German Federal Ministry for the Environment, Nature Conservation, Building and Nuclear Safety (BMUB)</t>
  </si>
  <si>
    <t>Japan Bank for International Cooperation (JBIC)</t>
  </si>
  <si>
    <t>Japan International Cooperation Agency (JICA)</t>
  </si>
  <si>
    <t>012  346 4493</t>
  </si>
  <si>
    <t>PROPARCO</t>
  </si>
  <si>
    <t>United Kingdom Foreign Commonwealth Office</t>
  </si>
  <si>
    <t>Vanessa Westcott</t>
  </si>
  <si>
    <t>012 421 7509</t>
  </si>
  <si>
    <t>Venture Capital</t>
  </si>
  <si>
    <t>4Di Capital</t>
  </si>
  <si>
    <t>AngelHub Ventures</t>
  </si>
  <si>
    <t>Rosalie Seriese</t>
  </si>
  <si>
    <t>Edge Growth</t>
  </si>
  <si>
    <t>Richard Rose (Vumela Fund)</t>
  </si>
  <si>
    <t>010 001 3715</t>
  </si>
  <si>
    <t>HassoPlattner Ventures Africa</t>
  </si>
  <si>
    <t>Triumph Venture Capital</t>
  </si>
  <si>
    <t>Invests in the renewable energy sector with a focus on providing equity for growth capital financing, corporate acquisitions and recapitalisations.</t>
  </si>
  <si>
    <t>011 463 2054</t>
  </si>
  <si>
    <t>Arise</t>
  </si>
  <si>
    <t>"We partner with sustainable locally owned financial services providers in Sub-Saharan Africa who are searching for a way to keep their independence but need financial expertise and long-term capital to prosper. Our in-depth local knowledge, minority shareholding and hands-on approach gives them the support they need to become financially sustainable and a strong contributor to the economy."</t>
  </si>
  <si>
    <t>IFU</t>
  </si>
  <si>
    <t>Johnny Hansen</t>
  </si>
  <si>
    <t>Public Investment Corporation (PIC)</t>
  </si>
  <si>
    <t>info@pic.gov.za</t>
  </si>
  <si>
    <t>Private Financing Advisory Network (PFAN)</t>
  </si>
  <si>
    <t>http://hoheisentrust.org/contact.php</t>
  </si>
  <si>
    <t>GreenFin Financial Services</t>
  </si>
  <si>
    <t>086 100 0808</t>
  </si>
  <si>
    <t>info@greenfin.co.za</t>
  </si>
  <si>
    <t>https://greenfin.co.za/</t>
  </si>
  <si>
    <t>Ms Suzan Chiloane </t>
  </si>
  <si>
    <t xml:space="preserve">012 394 1208 </t>
  </si>
  <si>
    <t>CDI Capital</t>
  </si>
  <si>
    <t>Mr. Ryan Rode</t>
  </si>
  <si>
    <t>087 357 3595</t>
  </si>
  <si>
    <t>ryan.rode@thecdi.org.za</t>
  </si>
  <si>
    <t>+27 (0) 21 421 2129</t>
  </si>
  <si>
    <t>info@uff.co.za</t>
  </si>
  <si>
    <t>Patience Bongiwe Kunene</t>
  </si>
  <si>
    <t>+1-202-473-9974</t>
  </si>
  <si>
    <t>eds25@worldbank.org</t>
  </si>
  <si>
    <t>Zane Schalkwyk</t>
  </si>
  <si>
    <t>072 440 0043</t>
  </si>
  <si>
    <t>zanes@firstfund.co.za</t>
  </si>
  <si>
    <t>https://firstfund.co.za/</t>
  </si>
  <si>
    <t>Department of Tourism</t>
  </si>
  <si>
    <t>Actis</t>
  </si>
  <si>
    <t>info@act.is</t>
  </si>
  <si>
    <t>https://www.act.is/</t>
  </si>
  <si>
    <t>TBI</t>
  </si>
  <si>
    <t>http://tbi.co.za</t>
  </si>
  <si>
    <t>info@tbi.co.za</t>
  </si>
  <si>
    <t>Cash Flow Capital</t>
  </si>
  <si>
    <t>087 720 1287 
(Cape Town office)</t>
  </si>
  <si>
    <t>https://www.cashflowcapital.co.za/</t>
  </si>
  <si>
    <t>Debt</t>
  </si>
  <si>
    <t>Village Capital</t>
  </si>
  <si>
    <t>Goodwell Investments</t>
  </si>
  <si>
    <t>Head quarter</t>
  </si>
  <si>
    <t>Cape Town, South Africa</t>
  </si>
  <si>
    <t>Africa and MENA regions</t>
  </si>
  <si>
    <t>Investec's Power &amp; Infrastructure Finance is an arranger and underwriter of debt for projects.  Investec also selectively develops and take equity in projects. Duration appropriate to the risk and tenor.</t>
  </si>
  <si>
    <t>Green Economy</t>
  </si>
  <si>
    <t>Sandton, Gauteng</t>
  </si>
  <si>
    <t>(Energy and Environment Partnership) EEP Africa</t>
  </si>
  <si>
    <t>Debt/Grant</t>
  </si>
  <si>
    <t>Facility for Investment in Renewable Small Transactions (FIRST)</t>
  </si>
  <si>
    <t xml:space="preserve">Rand Merchant Bank </t>
  </si>
  <si>
    <t>012 394 1258</t>
  </si>
  <si>
    <t>IDEAS Managed Fund</t>
  </si>
  <si>
    <t>Old Mutual's Alternative Investments</t>
  </si>
  <si>
    <t>Hans Hoheisen Charitable Trust</t>
  </si>
  <si>
    <t xml:space="preserve">As a grant maker, the Hans Hoheisen Charitable Trust facilitates the work of Public Benefit Organisations aimed at protecting, restoring and improving the sustainable use of South African species and eco-systems. </t>
  </si>
  <si>
    <t xml:space="preserve">WWF Nedbank Green Trust </t>
  </si>
  <si>
    <t xml:space="preserve">The Green Trust supports programmes with a strong community-based conservation focus in multiple areas, including climate change. Innovative projects to help solve some of the greatest socio-economic environmental challenges
</t>
  </si>
  <si>
    <t>Newlands, Cape Town</t>
  </si>
  <si>
    <t>Investec Power &amp; Infrastructure Finance</t>
  </si>
  <si>
    <t>Nedbank/WWF</t>
  </si>
  <si>
    <t>GreenFund</t>
  </si>
  <si>
    <t>DBSA's Infrastructure Investment Programme for SA</t>
  </si>
  <si>
    <t>Sustainable Agriculture</t>
  </si>
  <si>
    <t>Energy/Water</t>
  </si>
  <si>
    <t>Energy Efficiency Demand Side Management (EEDSM) Programme</t>
  </si>
  <si>
    <r>
      <rPr>
        <b/>
        <sz val="10"/>
        <color rgb="FF000000"/>
        <rFont val="Calibri"/>
        <family val="2"/>
      </rPr>
      <t>Energy Efficiency Demand Side Management (EEDSM) Programme</t>
    </r>
    <r>
      <rPr>
        <sz val="10"/>
        <color rgb="FF000000"/>
        <rFont val="Calibri"/>
        <family val="2"/>
      </rPr>
      <t xml:space="preserve"> is funded through the Division of Revenue Act (National Treasury). Funding is administered by the DoE, available to municipalities for energy efficiency projects. Proposals must be submitted each year by municipalities.</t>
    </r>
  </si>
  <si>
    <t>National Skills Fund</t>
  </si>
  <si>
    <t xml:space="preserve"> Sustainable Settlements Facility</t>
  </si>
  <si>
    <t>The Black Business Supplier Development Programme (BBSDP)</t>
  </si>
  <si>
    <t>Green Energy Efficiency Fund</t>
  </si>
  <si>
    <t>Integrated Demand Management (IDM) programme:</t>
  </si>
  <si>
    <t>Agro-Processing Support Scheme (APSS)</t>
  </si>
  <si>
    <t>Export Marketing &amp; Investment Assistance Scheme (EMIA)</t>
  </si>
  <si>
    <t>Sector Specific Assistance Scheme (SSAS)</t>
  </si>
  <si>
    <t xml:space="preserve"> A cost sharing grant for projects designed to improve critical infrastructure in South Africa. The grant covers qualifying development costs from a minimum of 10% to a maximum of 30% towards the total development costs of qualifying infrastructure. It is made available to approved eligible enterprise upon the completion of the infrastructure project concerned. Public or private entities eligible.</t>
  </si>
  <si>
    <t>Critical Infrastructure Programme</t>
  </si>
  <si>
    <t xml:space="preserve"> The primary objective is to facilitate feasibility studies that are likely to lead to projects that will increase SA exports, stimulate growth for the local capital goods and services sector and allied industries. New projects, expansion of existing projects and the rehabilitation of existing projects. Only South African companies eligible.</t>
  </si>
  <si>
    <t>Capital Projects Feasibility Programme:</t>
  </si>
  <si>
    <t xml:space="preserve">Strategic Partnership Programme (SPP) </t>
  </si>
  <si>
    <t>Black Industrialist Scheme</t>
  </si>
  <si>
    <t>Technology and Human Resources for Industry Programme (THRIP)</t>
  </si>
  <si>
    <t>12I Tax Allowance Incentive</t>
  </si>
  <si>
    <t>Shared Economic Infrastructure Facility (SEIF)</t>
  </si>
  <si>
    <t>11D Scientific and Technological R&amp;D Tax Incentive</t>
  </si>
  <si>
    <t>French Development Agency (AFD)</t>
  </si>
  <si>
    <t xml:space="preserve"> Tax incentives are being introduced for businesses that can show measurable energy savings.</t>
  </si>
  <si>
    <t>12L EE Tax Incentive:</t>
  </si>
  <si>
    <t xml:space="preserve"> Under section 12B of the Income Tax Act, businesses can depreciate investments in renewable energy and bio fuel production at a rate of 50:30:20.</t>
  </si>
  <si>
    <t>12B RE Depreciation Incentive</t>
  </si>
  <si>
    <t>Seda Technology Programme (STP)</t>
  </si>
  <si>
    <t>Isibaya Fund</t>
  </si>
  <si>
    <t>A reimbursable 80:20 cost-sharing grant offering financial support to for-profit export councils, joint action groups and industry associations.</t>
  </si>
  <si>
    <t>Industrial Financing Loan Facilities</t>
  </si>
  <si>
    <t>Green Tourism Incentive Programme</t>
  </si>
  <si>
    <t>Working capital solution</t>
  </si>
  <si>
    <t xml:space="preserve">Growth Fund </t>
  </si>
  <si>
    <t>Fund name</t>
  </si>
  <si>
    <t>Unlocks industrial potential through targeted and financial and non-financial interventions, described in the IPAP and other government policies.</t>
  </si>
  <si>
    <t>Investment opportunity information</t>
  </si>
  <si>
    <t>Global Environmental Facility Small Grants Programme (GEF SGP)</t>
  </si>
  <si>
    <t>International Development Association 18</t>
  </si>
  <si>
    <t>Working Capital and Term Loan facility</t>
  </si>
  <si>
    <r>
      <rPr>
        <b/>
        <sz val="10"/>
        <color rgb="FF000000"/>
        <rFont val="Calibri"/>
        <family val="2"/>
      </rPr>
      <t>FIRST</t>
    </r>
    <r>
      <rPr>
        <sz val="10"/>
        <color rgb="FF000000"/>
        <rFont val="Calibri"/>
        <family val="2"/>
      </rPr>
      <t xml:space="preserve"> offers long term loan finance to small renewable energy projects in South Africa. While our core offering focuses on projects needing funding of R50m or more, we will consider projects as small as 200kw where a different funding response is necessary. We are technology agnostic provided that we can show that the project fits broadly into the renewable sector or contributes to emission reduction.</t>
    </r>
  </si>
  <si>
    <r>
      <rPr>
        <b/>
        <sz val="10"/>
        <color rgb="FF000000"/>
        <rFont val="Calibri"/>
        <family val="2"/>
      </rPr>
      <t>Sasfin</t>
    </r>
    <r>
      <rPr>
        <sz val="10"/>
        <color rgb="FF000000"/>
        <rFont val="Calibri"/>
        <family val="2"/>
      </rPr>
      <t xml:space="preserve"> has secured a “green” funding line from the International Finance Corporation (a member of the World Bank Group) and the Canadian government’s Climate Change Program, to enable clients to invest in renewable and energy-efficient capital projects.</t>
    </r>
  </si>
  <si>
    <r>
      <t xml:space="preserve">Unsecured working capital is provided based on invoice or supply contracts. </t>
    </r>
    <r>
      <rPr>
        <b/>
        <sz val="10"/>
        <color rgb="FF000000"/>
        <rFont val="Calibri"/>
        <family val="2"/>
      </rPr>
      <t>R250k - R5m</t>
    </r>
    <r>
      <rPr>
        <sz val="10"/>
        <color rgb="FF000000"/>
        <rFont val="Calibri"/>
        <family val="2"/>
      </rPr>
      <t xml:space="preserve"> is offered with interest rates ranging from</t>
    </r>
    <r>
      <rPr>
        <b/>
        <sz val="10"/>
        <color rgb="FF000000"/>
        <rFont val="Calibri"/>
        <family val="2"/>
      </rPr>
      <t xml:space="preserve"> 2-3% per month</t>
    </r>
    <r>
      <rPr>
        <sz val="10"/>
        <color rgb="FF000000"/>
        <rFont val="Calibri"/>
        <family val="2"/>
      </rPr>
      <t xml:space="preserve"> (capped at 24% per year).
The financing is done using Supply Chain Finance techniques and is achieved by creating a financial ecosystem that connects the SME to the key roles players in the ecosystem. And thus, finance the SME based on the strength of the ecosystem, as opposed to the balance sheet. The offering also includes SME technical and business skills development, and financing.</t>
    </r>
  </si>
  <si>
    <t>Fourways, Gauteng</t>
  </si>
  <si>
    <t>Debt/Equity/Grant</t>
  </si>
  <si>
    <t>IFU &amp; The Danish Climate Investment Fund</t>
  </si>
  <si>
    <t>Debt/Equity</t>
  </si>
  <si>
    <t>Debt/Equity/Guarantee</t>
  </si>
  <si>
    <t>Academic research</t>
  </si>
  <si>
    <r>
      <t>Direct Lending where individuals apply directly to sefa.
Varies (</t>
    </r>
    <r>
      <rPr>
        <b/>
        <sz val="10"/>
        <color rgb="FF000000"/>
        <rFont val="Calibri"/>
        <family val="2"/>
      </rPr>
      <t>Direct Lending</t>
    </r>
    <r>
      <rPr>
        <sz val="10"/>
        <color rgb="FF000000"/>
        <rFont val="Calibri"/>
        <family val="2"/>
      </rPr>
      <t xml:space="preserve">: </t>
    </r>
    <r>
      <rPr>
        <b/>
        <sz val="10"/>
        <color rgb="FF000000"/>
        <rFont val="Calibri"/>
        <family val="2"/>
      </rPr>
      <t>R50k - R5m</t>
    </r>
    <r>
      <rPr>
        <sz val="10"/>
        <color rgb="FF000000"/>
        <rFont val="Calibri"/>
        <family val="2"/>
      </rPr>
      <t xml:space="preserve">); </t>
    </r>
    <r>
      <rPr>
        <b/>
        <sz val="10"/>
        <color rgb="FF000000"/>
        <rFont val="Calibri"/>
        <family val="2"/>
      </rPr>
      <t>1-5yrs</t>
    </r>
    <r>
      <rPr>
        <sz val="10"/>
        <color rgb="FF000000"/>
        <rFont val="Calibri"/>
        <family val="2"/>
      </rPr>
      <t xml:space="preserve">
</t>
    </r>
  </si>
  <si>
    <r>
      <t>Wholesale Lending where financial intemediaries (Joint ventures, funds, RFI, MFI) are used.
Varies (</t>
    </r>
    <r>
      <rPr>
        <b/>
        <sz val="10"/>
        <color rgb="FF000000"/>
        <rFont val="Calibri"/>
        <family val="2"/>
      </rPr>
      <t>Wholesale lending: R20m-R100m</t>
    </r>
    <r>
      <rPr>
        <sz val="10"/>
        <color rgb="FF000000"/>
        <rFont val="Calibri"/>
        <family val="2"/>
      </rPr>
      <t xml:space="preserve">); </t>
    </r>
    <r>
      <rPr>
        <b/>
        <sz val="10"/>
        <color rgb="FF000000"/>
        <rFont val="Calibri"/>
        <family val="2"/>
      </rPr>
      <t>1-5yrs</t>
    </r>
  </si>
  <si>
    <t>12K CDM Tax Incentive (2009)</t>
  </si>
  <si>
    <r>
      <t xml:space="preserve">South African businesses receiving benefits from </t>
    </r>
    <r>
      <rPr>
        <b/>
        <sz val="10"/>
        <color rgb="FF000000"/>
        <rFont val="Calibri"/>
        <family val="2"/>
      </rPr>
      <t>Clean Development Mechanisms</t>
    </r>
    <r>
      <rPr>
        <sz val="10"/>
        <color rgb="FF000000"/>
        <rFont val="Calibri"/>
        <family val="2"/>
      </rPr>
      <t xml:space="preserve"> (CDM) are exempt from tax on revenue derived from such benefits, be it in the form of Income Tax or Capital Gains Tax. To qualify, CDM projects require both </t>
    </r>
    <r>
      <rPr>
        <b/>
        <sz val="10"/>
        <color rgb="FF000000"/>
        <rFont val="Calibri"/>
        <family val="2"/>
      </rPr>
      <t>South African approval</t>
    </r>
    <r>
      <rPr>
        <sz val="10"/>
        <color rgb="FF000000"/>
        <rFont val="Calibri"/>
        <family val="2"/>
      </rPr>
      <t xml:space="preserve"> and </t>
    </r>
    <r>
      <rPr>
        <b/>
        <sz val="10"/>
        <color rgb="FF000000"/>
        <rFont val="Calibri"/>
        <family val="2"/>
      </rPr>
      <t>UNFCCC registration</t>
    </r>
    <r>
      <rPr>
        <sz val="10"/>
        <color rgb="FF000000"/>
        <rFont val="Calibri"/>
        <family val="2"/>
      </rPr>
      <t>. Currently, South African approval must be obtained from the Department of Minerals and Energy, referred to in United Nations parlance as the "Designated National Authority".</t>
    </r>
  </si>
  <si>
    <t>Social impact</t>
  </si>
  <si>
    <t>London and Washington D.C.</t>
  </si>
  <si>
    <t>+45 33 63 75 00</t>
  </si>
  <si>
    <r>
      <t xml:space="preserve">The </t>
    </r>
    <r>
      <rPr>
        <b/>
        <sz val="10"/>
        <color rgb="FF000000"/>
        <rFont val="Calibri"/>
        <family val="2"/>
      </rPr>
      <t>Growth Fund</t>
    </r>
    <r>
      <rPr>
        <sz val="10"/>
        <color rgb="FF000000"/>
        <rFont val="Calibri"/>
        <family val="2"/>
      </rPr>
      <t xml:space="preserve"> is a new funding initiative established as part of the </t>
    </r>
    <r>
      <rPr>
        <b/>
        <sz val="10"/>
        <color rgb="FF000000"/>
        <rFont val="Calibri"/>
        <family val="2"/>
      </rPr>
      <t>CDI’s three-year R33m Jobs Fund project</t>
    </r>
    <r>
      <rPr>
        <sz val="10"/>
        <color rgb="FF000000"/>
        <rFont val="Calibri"/>
        <family val="2"/>
      </rPr>
      <t xml:space="preserve">, funded by the </t>
    </r>
    <r>
      <rPr>
        <b/>
        <sz val="10"/>
        <color rgb="FF000000"/>
        <rFont val="Calibri"/>
        <family val="2"/>
      </rPr>
      <t>National Treasury</t>
    </r>
    <r>
      <rPr>
        <sz val="10"/>
        <color rgb="FF000000"/>
        <rFont val="Calibri"/>
        <family val="2"/>
      </rPr>
      <t xml:space="preserve"> through the </t>
    </r>
    <r>
      <rPr>
        <b/>
        <sz val="10"/>
        <color rgb="FF000000"/>
        <rFont val="Calibri"/>
        <family val="2"/>
      </rPr>
      <t>Government Technical Advisory Centre (GTAC)</t>
    </r>
    <r>
      <rPr>
        <sz val="10"/>
        <color rgb="FF000000"/>
        <rFont val="Calibri"/>
        <family val="2"/>
      </rPr>
      <t xml:space="preserve">, the </t>
    </r>
    <r>
      <rPr>
        <b/>
        <sz val="10"/>
        <color rgb="FF000000"/>
        <rFont val="Calibri"/>
        <family val="2"/>
      </rPr>
      <t>Technology Innovation Agency (TIA)</t>
    </r>
    <r>
      <rPr>
        <sz val="10"/>
        <color rgb="FF000000"/>
        <rFont val="Calibri"/>
        <family val="2"/>
      </rPr>
      <t xml:space="preserve"> and the </t>
    </r>
    <r>
      <rPr>
        <b/>
        <sz val="10"/>
        <color rgb="FF000000"/>
        <rFont val="Calibri"/>
        <family val="2"/>
      </rPr>
      <t>Western Cape Department of Economic Development and Tourism (DEDAT)</t>
    </r>
    <r>
      <rPr>
        <sz val="10"/>
        <color rgb="FF000000"/>
        <rFont val="Calibri"/>
        <family val="2"/>
      </rPr>
      <t xml:space="preserve">.
The Fund is inviting SME’s experiencing growth or poised for expansion and able to create sustainable quality jobs to apply for grant funding. </t>
    </r>
    <r>
      <rPr>
        <b/>
        <sz val="10"/>
        <color rgb="FF000000"/>
        <rFont val="Calibri"/>
        <family val="2"/>
      </rPr>
      <t>Applicants required to match grant funding amount with 20% of your own cash. Apply for R 21 000 for every permanent job created.</t>
    </r>
    <r>
      <rPr>
        <sz val="10"/>
        <color rgb="FF000000"/>
        <rFont val="Calibri"/>
        <family val="2"/>
      </rPr>
      <t xml:space="preserve">
 The Growth Fund is open to businesses with turnover or assets of more than </t>
    </r>
    <r>
      <rPr>
        <b/>
        <sz val="10"/>
        <color rgb="FF000000"/>
        <rFont val="Calibri"/>
        <family val="2"/>
      </rPr>
      <t>R1 million</t>
    </r>
    <r>
      <rPr>
        <sz val="10"/>
        <color rgb="FF000000"/>
        <rFont val="Calibri"/>
        <family val="2"/>
      </rPr>
      <t xml:space="preserve"> with the ability to create </t>
    </r>
    <r>
      <rPr>
        <b/>
        <sz val="10"/>
        <color rgb="FF000000"/>
        <rFont val="Calibri"/>
        <family val="2"/>
      </rPr>
      <t>600 permanent jobs over a 3-year period</t>
    </r>
  </si>
  <si>
    <r>
      <t xml:space="preserve"> The </t>
    </r>
    <r>
      <rPr>
        <b/>
        <sz val="10"/>
        <color rgb="FF000000"/>
        <rFont val="Calibri"/>
        <family val="2"/>
      </rPr>
      <t>Working Capital and Term Loan facility</t>
    </r>
    <r>
      <rPr>
        <sz val="10"/>
        <color rgb="FF000000"/>
        <rFont val="Calibri"/>
        <family val="2"/>
      </rPr>
      <t xml:space="preserve">, provides working capital and term loans at reduced rates for the duration of the three-year project to provide access to cash flow during the growth stage of SME’s. </t>
    </r>
  </si>
  <si>
    <t>Investment instrument</t>
  </si>
  <si>
    <t>World Bank Green Bonds</t>
  </si>
  <si>
    <r>
      <rPr>
        <b/>
        <sz val="10"/>
        <color rgb="FF000000"/>
        <rFont val="Calibri"/>
        <family val="2"/>
      </rPr>
      <t>The Technology and Human Resources for Industry Programme (THRIP)</t>
    </r>
    <r>
      <rPr>
        <sz val="10"/>
        <color rgb="FF000000"/>
        <rFont val="Calibri"/>
        <family val="2"/>
      </rPr>
      <t xml:space="preserve"> is a flagship research and development programme of the </t>
    </r>
    <r>
      <rPr>
        <b/>
        <sz val="10"/>
        <color rgb="FF000000"/>
        <rFont val="Calibri"/>
        <family val="2"/>
      </rPr>
      <t>dti</t>
    </r>
    <r>
      <rPr>
        <sz val="10"/>
        <color rgb="FF000000"/>
        <rFont val="Calibri"/>
        <family val="2"/>
      </rPr>
      <t xml:space="preserve"> and the </t>
    </r>
    <r>
      <rPr>
        <b/>
        <sz val="10"/>
        <color rgb="FF000000"/>
        <rFont val="Calibri"/>
        <family val="2"/>
      </rPr>
      <t>NRF</t>
    </r>
    <r>
      <rPr>
        <sz val="10"/>
        <color rgb="FF000000"/>
        <rFont val="Calibri"/>
        <family val="2"/>
      </rPr>
      <t>. The NRF contributes research management and opportunities to leverage national and international research initiatives, so that the technology and industry development aims of the dti are taken forward effectively. Partnerships in pre-commercial research between business and the public-funded research base including universities and research institutions. On a cost-sharing basis with industry, THRIP supports Science, Engineering and Technology (SET) research collaboration focused on addressing the technology needs of the participating firms.</t>
    </r>
  </si>
  <si>
    <r>
      <t xml:space="preserve">This fund is designed to support </t>
    </r>
    <r>
      <rPr>
        <b/>
        <sz val="10"/>
        <color rgb="FF000000"/>
        <rFont val="Calibri"/>
        <family val="2"/>
      </rPr>
      <t>greenfield investments</t>
    </r>
    <r>
      <rPr>
        <sz val="10"/>
        <color rgb="FF000000"/>
        <rFont val="Calibri"/>
        <family val="2"/>
      </rPr>
      <t xml:space="preserve"> (i.e. new industrial projects that utilise only new and unused manufacturing assets), as well as brownfield investments (i.e. expansions or upgrades of existing industrial projects). The incentive offers support for both capital investment and training. </t>
    </r>
    <r>
      <rPr>
        <b/>
        <sz val="10"/>
        <color rgb="FF000000"/>
        <rFont val="Calibri"/>
        <family val="2"/>
      </rPr>
      <t>Minimum qualifying assets for greenfield project (R 50 million) and brownfield project (R 30 million or the lesser of R50 million or 25% of the expenditure on existing assets)</t>
    </r>
  </si>
  <si>
    <t>Debt/Guarantee</t>
  </si>
  <si>
    <t>086 184 3384</t>
  </si>
  <si>
    <t xml:space="preserve">Scheme </t>
  </si>
  <si>
    <t>Special Climate Change Fund</t>
  </si>
  <si>
    <t>Global Environmental Facility</t>
  </si>
  <si>
    <t>USD$ 50 000</t>
  </si>
  <si>
    <t xml:space="preserve">Green Economy </t>
  </si>
  <si>
    <t xml:space="preserve">Equity/Grant </t>
  </si>
  <si>
    <t>Grant/Subsidy/Rebate</t>
  </si>
  <si>
    <t>Grant/Subsidy/Guarantee</t>
  </si>
  <si>
    <t>Debt/Grant/Rebate</t>
  </si>
  <si>
    <t xml:space="preserve">Debt/Equity/Guarantee
</t>
  </si>
  <si>
    <t xml:space="preserve">Debt/Grant/Guarantee 
</t>
  </si>
  <si>
    <t>Mr. Thaka Lehohla</t>
  </si>
  <si>
    <t>TLehohla@thedti.gov.za</t>
  </si>
  <si>
    <t>Infrastructure</t>
  </si>
  <si>
    <t>0861843384</t>
  </si>
  <si>
    <r>
      <t xml:space="preserve">The </t>
    </r>
    <r>
      <rPr>
        <b/>
        <sz val="10"/>
        <color rgb="FF000000"/>
        <rFont val="Calibri"/>
        <family val="2"/>
      </rPr>
      <t>Black Business Supplier Development Programme</t>
    </r>
    <r>
      <rPr>
        <sz val="10"/>
        <color rgb="FF000000"/>
        <rFont val="Calibri"/>
        <family val="2"/>
      </rPr>
      <t xml:space="preserve"> (BBSDP) is a </t>
    </r>
    <r>
      <rPr>
        <b/>
        <sz val="10"/>
        <color rgb="FF000000"/>
        <rFont val="Calibri"/>
        <family val="2"/>
      </rPr>
      <t xml:space="preserve">cost-sharing grant </t>
    </r>
    <r>
      <rPr>
        <sz val="10"/>
        <color rgb="FF000000"/>
        <rFont val="Calibri"/>
        <family val="2"/>
      </rPr>
      <t xml:space="preserve">offered to small 51% black-owned enterprises to assist them to improve their competitiveness and sustainability. Focused on assisting with Plant, Tools and Machinery. </t>
    </r>
    <r>
      <rPr>
        <b/>
        <sz val="10"/>
        <color rgb="FF000000"/>
        <rFont val="Calibri"/>
        <family val="2"/>
      </rPr>
      <t>R 800K  for tools, on 50:50 cost sharing basis, and R200k  for business development on a 80:20 cost sharing basis. Eligible applicants should have R250K  - R350K turnover per year</t>
    </r>
  </si>
  <si>
    <t>Skills Development</t>
  </si>
  <si>
    <r>
      <t xml:space="preserve">It is intended to finance costs directly related to the delivery of learning  and not to finance infrastructure and/or ongoing operational costs of SETAs. Aimed at employers that must have paid </t>
    </r>
    <r>
      <rPr>
        <b/>
        <sz val="10"/>
        <color rgb="FF000000"/>
        <rFont val="Calibri"/>
        <family val="2"/>
      </rPr>
      <t>Skills Development levies</t>
    </r>
    <r>
      <rPr>
        <sz val="10"/>
        <color rgb="FF000000"/>
        <rFont val="Calibri"/>
        <family val="2"/>
      </rPr>
      <t xml:space="preserve">, have a </t>
    </r>
    <r>
      <rPr>
        <b/>
        <sz val="10"/>
        <color rgb="FF000000"/>
        <rFont val="Calibri"/>
        <family val="2"/>
      </rPr>
      <t>Skills Development Facilitator</t>
    </r>
    <r>
      <rPr>
        <sz val="10"/>
        <color rgb="FF000000"/>
        <rFont val="Calibri"/>
        <family val="2"/>
      </rPr>
      <t xml:space="preserve"> and follow all the rules and regulations in the Skills Development Act 97 of 1998</t>
    </r>
  </si>
  <si>
    <t>Unspecified</t>
  </si>
  <si>
    <t>Energy/Sustainable Agriculture</t>
  </si>
  <si>
    <t xml:space="preserve">Fund supported by Impact Programme aims to accelerate the flow of capital to early stage companies. Provides early-stage support and funding to entrepreneurs 
(similar to an incubator / accelerator). Enterpsises that agri-value chain problems </t>
  </si>
  <si>
    <t>Village Capital’s Africa Agriculture</t>
  </si>
  <si>
    <t>USA</t>
  </si>
  <si>
    <t>(a) With suppliers of solar energy and related installations (who could, for example, introduce us to their customers who require funding, or, they themselves require short term/interim funding to acquire stock etc); 
(b)   End users/customers, who require funding for such installations.
We are looking at “smaller” type installations, with a maximum facility amount of around R25 million (funding capital and short-term requirements)</t>
  </si>
  <si>
    <t>Finance for Solar Equipment</t>
  </si>
  <si>
    <t>João Duarte Cunha (Technical Contact (Secretariat)</t>
  </si>
  <si>
    <t>Alternative Energy Finance</t>
  </si>
  <si>
    <t>Concessional funding</t>
  </si>
  <si>
    <t>Focus Area</t>
  </si>
  <si>
    <t xml:space="preserve">UFF African Agri Investments </t>
  </si>
  <si>
    <t>The Local Cooperation Fund</t>
  </si>
  <si>
    <t>Evolution One Fund</t>
  </si>
  <si>
    <t>Design Innovation Seed Fund</t>
  </si>
  <si>
    <r>
      <rPr>
        <b/>
        <sz val="10"/>
        <color rgb="FF000000"/>
        <rFont val="Calibri"/>
        <family val="2"/>
      </rPr>
      <t>The Design Innovation Seed Fund</t>
    </r>
    <r>
      <rPr>
        <sz val="10"/>
        <color rgb="FF000000"/>
        <rFont val="Calibri"/>
        <family val="2"/>
      </rPr>
      <t xml:space="preserve"> is open to inventors who believe they have protectable innovative technological solutions that could </t>
    </r>
    <r>
      <rPr>
        <b/>
        <sz val="10"/>
        <color rgb="FF000000"/>
        <rFont val="Calibri"/>
        <family val="2"/>
      </rPr>
      <t>impact on specific sectors and could create permanent jobs</t>
    </r>
  </si>
  <si>
    <t xml:space="preserve">Aims to invest in assets that are developmental in nature and which contribute to the economic upliftment of disadvantaged communities. IDEAS assets consist predominantly of investments in commercially viable development projects that aim to achieve measurable transformation objectives in South Africa and the SADC. 
</t>
  </si>
  <si>
    <t>EUR 200 000 - EUR 1 million</t>
  </si>
  <si>
    <t>$ 230 000 - $ 15 million</t>
  </si>
  <si>
    <t>Assists in capital raising for project development (among other project development services).
Open-ended call for Proposals for Climate &amp; Clean Energy Projects in Sub-Saharan Africa and Asia</t>
  </si>
  <si>
    <t>Unlike banks, Cash Flow Capital provides businesses with loans, based on turnover, rather than assets. The business cash advance is tailored to merchants with a daily turnover. With our loans, all costs are known up front, and repayments are flexible and manageable. Quick, straightforward application process. It only takes 10 minutes, and pay out is in 3 days. Monthly sales that exceed R 300 000</t>
  </si>
  <si>
    <t>Lenders</t>
  </si>
  <si>
    <t>Water/Sustainable Agriculture/Manufacturing</t>
  </si>
  <si>
    <t>Energy security has become a strategic imperative for businesses operating on the African continent, with South Africa leading the way in the development of sustainable energy solutions. The reduction in costs associated with alternative energy, and the parallel increase in electricity tariffs, has led to huge growth in the demand for alternative energy solutions from local businesses.</t>
  </si>
  <si>
    <t>Johannesburg, South Africa</t>
  </si>
  <si>
    <t>USD$ 5 million</t>
  </si>
  <si>
    <t>021 300 2222</t>
  </si>
  <si>
    <t>US$ 100K - US$ 1.5 million</t>
  </si>
  <si>
    <t xml:space="preserve">Seda Technology Programme (STP) is responsible for the provision of both financial and non-financial technology transfer, business incubation and quality support services for small enterprise. </t>
  </si>
  <si>
    <t>Manufacturing Industry Finance</t>
  </si>
  <si>
    <t>&lt; R 50 million</t>
  </si>
  <si>
    <t>Manufacturing</t>
  </si>
  <si>
    <r>
      <t xml:space="preserve">Industrial financing loan facilities </t>
    </r>
    <r>
      <rPr>
        <b/>
        <sz val="10"/>
        <color rgb="FF000000"/>
        <rFont val="Calibri"/>
        <family val="2"/>
      </rPr>
      <t>(the Working Capital Component</t>
    </r>
    <r>
      <rPr>
        <sz val="10"/>
        <color rgb="FF000000"/>
        <rFont val="Calibri"/>
        <family val="2"/>
      </rPr>
      <t xml:space="preserve">) to promote competitiveness in manufacturing while ensuring job retention in the sector. The production incentive grants administered by the </t>
    </r>
    <r>
      <rPr>
        <b/>
        <sz val="10"/>
        <color rgb="FF000000"/>
        <rFont val="Calibri"/>
        <family val="2"/>
      </rPr>
      <t>Department of Trade and Industry</t>
    </r>
    <r>
      <rPr>
        <sz val="10"/>
        <color rgb="FF000000"/>
        <rFont val="Calibri"/>
        <family val="2"/>
      </rPr>
      <t xml:space="preserve">, as part of what was the </t>
    </r>
    <r>
      <rPr>
        <b/>
        <sz val="10"/>
        <color rgb="FF000000"/>
        <rFont val="Calibri"/>
        <family val="2"/>
      </rPr>
      <t>Manufacturing Competitiveness Enhancement Programme (MCEP)</t>
    </r>
    <r>
      <rPr>
        <sz val="10"/>
        <color rgb="FF000000"/>
        <rFont val="Calibri"/>
        <family val="2"/>
      </rPr>
      <t xml:space="preserve"> has been suspended indefinitely. </t>
    </r>
  </si>
  <si>
    <r>
      <t xml:space="preserve">Provides grants to businesses owned by young people. </t>
    </r>
    <r>
      <rPr>
        <b/>
        <sz val="10"/>
        <color rgb="FF000000"/>
        <rFont val="Calibri"/>
        <family val="2"/>
      </rPr>
      <t>Up to R100k, with a turnaround of 21 working days</t>
    </r>
    <r>
      <rPr>
        <sz val="10"/>
        <color rgb="FF000000"/>
        <rFont val="Calibri"/>
        <family val="2"/>
      </rPr>
      <t xml:space="preserve">. Also provides a 3 day workshop  to educate entrepreneurs on business fundamentals. Grants over R10k require business registration. </t>
    </r>
    <r>
      <rPr>
        <b/>
        <sz val="10"/>
        <color rgb="FF000000"/>
        <rFont val="Calibri"/>
        <family val="2"/>
      </rPr>
      <t>Grants R50k - R100k</t>
    </r>
    <r>
      <rPr>
        <sz val="10"/>
        <color rgb="FF000000"/>
        <rFont val="Calibri"/>
        <family val="2"/>
      </rPr>
      <t>, NYDA often requests quotes as they can pay suppliers directly. Significant focus on assessing and upskilling young people.</t>
    </r>
  </si>
  <si>
    <r>
      <t xml:space="preserve">The loan facilities are offered by the </t>
    </r>
    <r>
      <rPr>
        <b/>
        <sz val="10"/>
        <color rgb="FF000000"/>
        <rFont val="Calibri"/>
        <family val="2"/>
      </rPr>
      <t>Manufacturing Competitiveness Enhancement Programme</t>
    </r>
    <r>
      <rPr>
        <sz val="10"/>
        <color rgb="FF000000"/>
        <rFont val="Calibri"/>
        <family val="2"/>
      </rPr>
      <t xml:space="preserve"> (MCEP) aimed at encouraging manufacturers to upgrade their production facilities in a manner that sustains employment and maximises value-addition in the short to medium term. This is available to existing manufacturing operations, engineering services company in the Republic of South Africa. The Industrial Financing and Loan facilities comprises two components i.e. Pre and post-dispatch Working Capital Facility and the Industrial Policy Niche Projects Fund.</t>
    </r>
  </si>
  <si>
    <t>&lt; R 30 million</t>
  </si>
  <si>
    <t xml:space="preserve">Mr Sithembile Tantsi </t>
  </si>
  <si>
    <t>Pretoria, South Africa</t>
  </si>
  <si>
    <t>Energy/Water/Manufacturing</t>
  </si>
  <si>
    <t>012 472 2700</t>
  </si>
  <si>
    <t>Various sectors</t>
  </si>
  <si>
    <t>Agence Francaise de Developpement - AFD</t>
  </si>
  <si>
    <t>Japan</t>
  </si>
  <si>
    <t>R 1 million</t>
  </si>
  <si>
    <t>R 5 million</t>
  </si>
  <si>
    <r>
      <rPr>
        <b/>
        <sz val="10"/>
        <color rgb="FF000000"/>
        <rFont val="Calibri"/>
        <family val="2"/>
      </rPr>
      <t>Co-operative Incentive Scheme</t>
    </r>
    <r>
      <rPr>
        <sz val="10"/>
        <color rgb="FF000000"/>
        <rFont val="Calibri"/>
        <family val="2"/>
      </rPr>
      <t xml:space="preserve"> (CIS) is a 100% grant for registered primary co-operatives. The objective of the CIS  is to improve the viability and competitiveness of co-operative enterprises by lowering their cost of doing business through an incentive that supports Broad-Based Black Economic Empowerment.</t>
    </r>
  </si>
  <si>
    <t>011 269 3086</t>
  </si>
  <si>
    <t>Mr Siyabonga Mahlangu</t>
  </si>
  <si>
    <t>&lt; R 1 million</t>
  </si>
  <si>
    <t>Woodmead, Gauteng</t>
  </si>
  <si>
    <t>Debt/Rebate</t>
  </si>
  <si>
    <t>GroFin is a pioneering SME development financier assisting entrepreneurs and business owners to access tailored finance and experienced business support to start and grow successful businesses, creating jobs and driving socio-economic developmentFinancing and supporting small and growing businesses across Africa and the Middle East. Private development finance institution</t>
  </si>
  <si>
    <r>
      <t xml:space="preserve">The Green Energy Efficiency Fund is the result of a partnership between the </t>
    </r>
    <r>
      <rPr>
        <b/>
        <sz val="10"/>
        <color rgb="FF000000"/>
        <rFont val="Calibri"/>
        <family val="2"/>
      </rPr>
      <t>IDC and the German Development Bank (KfW)</t>
    </r>
    <r>
      <rPr>
        <sz val="10"/>
        <color rgb="FF000000"/>
        <rFont val="Calibri"/>
        <family val="2"/>
      </rPr>
      <t xml:space="preserve"> to fund energy efficiency and self-use renewable energy projects. The facility, R500 million in size is only open to businesses registered and operating in South Africa for equipment and technologies across a range of sectors. Aimed at private entities.</t>
    </r>
  </si>
  <si>
    <r>
      <t xml:space="preserve">Only black entrepreneurs eligible. Provides </t>
    </r>
    <r>
      <rPr>
        <b/>
        <sz val="10"/>
        <color rgb="FF000000"/>
        <rFont val="Calibri"/>
        <family val="2"/>
      </rPr>
      <t>loans from R250k - R75m</t>
    </r>
    <r>
      <rPr>
        <sz val="10"/>
        <color rgb="FF000000"/>
        <rFont val="Calibri"/>
        <family val="2"/>
      </rPr>
      <t xml:space="preserve"> for startups, expansions, rural development, acquisitions and working capital (contract finance) at around Prime +2%. Low hit rates for startups (1 out of 90 last year). Excluding sole traders, 'sin' businesses and primary agriculture. Business plan (commercial viability) is absolutely crucial. Post-investment mentorship is provided in order to ensure viability. </t>
    </r>
  </si>
  <si>
    <t xml:space="preserve">Development Investment fund managed by PIC. Economic infrastucture (commuter transport, ICT and broadband infrastructure, energy and water infrastracture, liquid fuel and logistic network).  Environmental sustainability (renewable energy, clean technology, green firms, conservation, recyclIng waste managent and climate change)                </t>
  </si>
  <si>
    <t>SADC Project Preparation and Development Facility</t>
  </si>
  <si>
    <t>Sustainable Energy Fund for Africa: Project Preparation Grants (Component I)</t>
  </si>
  <si>
    <r>
      <t xml:space="preserve">For renewable energy and energy efficiency project with total capital investment needs in the range of </t>
    </r>
    <r>
      <rPr>
        <b/>
        <sz val="10"/>
        <rFont val="Calibri"/>
        <family val="2"/>
      </rPr>
      <t>USD$ 30 – 75 million</t>
    </r>
    <r>
      <rPr>
        <sz val="10"/>
        <rFont val="Calibri"/>
        <family val="2"/>
      </rPr>
      <t>. Funding available for private sector only</t>
    </r>
  </si>
  <si>
    <t>R 350 million  - R900 million</t>
  </si>
  <si>
    <t>012 394 1245</t>
  </si>
  <si>
    <t>012 742 3400</t>
  </si>
  <si>
    <t>R 21K - R 2 million</t>
  </si>
  <si>
    <t>021 948 0322</t>
  </si>
  <si>
    <t>R 15 million - R 60 million</t>
  </si>
  <si>
    <t>R 750 million - R 1 billion</t>
  </si>
  <si>
    <t>R 50 million - R 200 million</t>
  </si>
  <si>
    <t>&lt; R 200 million</t>
  </si>
  <si>
    <t>&lt;R 25 million</t>
  </si>
  <si>
    <t>&lt; R3 million</t>
  </si>
  <si>
    <t>R 50 million - R 300 million</t>
  </si>
  <si>
    <t>&lt;R 150 000</t>
  </si>
  <si>
    <t xml:space="preserve">Ms. Tsakane Bok </t>
  </si>
  <si>
    <t>012 343 0275</t>
  </si>
  <si>
    <t xml:space="preserve">Infrastructure Development Fund (IDF) </t>
  </si>
  <si>
    <t>&lt; €10 million</t>
  </si>
  <si>
    <t>Energy/Water/Sustainable Agriculture</t>
  </si>
  <si>
    <t>International Climate Initiative (IKI)</t>
  </si>
  <si>
    <t>"Proparco is the private sector arm of the AFD and finances debt and equity for private firms in developing countries. Private sector development projects (energy, infrastructure, agriculture, etc)."</t>
  </si>
  <si>
    <t>Prosperity Fund Programme</t>
  </si>
  <si>
    <t>"The FCO promotes the United Kingdom's interests overseas, supporting our citizens and businesses around the globe. The Prosperity Fund Programme is the UK Foreign and Commonwealth Office fund to tackle climate change, strengthen energy security and promote an open global economy in key emerging economies."</t>
  </si>
  <si>
    <r>
      <t>"</t>
    </r>
    <r>
      <rPr>
        <b/>
        <sz val="10"/>
        <color rgb="FF000000"/>
        <rFont val="Calibri"/>
        <family val="2"/>
      </rPr>
      <t>Atlantic Asset Management</t>
    </r>
    <r>
      <rPr>
        <sz val="10"/>
        <color rgb="FF000000"/>
        <rFont val="Calibri"/>
        <family val="2"/>
      </rPr>
      <t xml:space="preserve"> provides debt funding to intermediaries and SMEs that have high levels of job creation and that contribute to the communities in which they work. Typically to provide </t>
    </r>
    <r>
      <rPr>
        <b/>
        <sz val="10"/>
        <color rgb="FF000000"/>
        <rFont val="Calibri"/>
        <family val="2"/>
      </rPr>
      <t>expansion capital to established businesses</t>
    </r>
    <r>
      <rPr>
        <sz val="10"/>
        <color rgb="FF000000"/>
        <rFont val="Calibri"/>
        <family val="2"/>
      </rPr>
      <t xml:space="preserve">. Intermediaries or businesses creating new jobs with a record less than 5 years. Investment range of </t>
    </r>
    <r>
      <rPr>
        <b/>
        <sz val="10"/>
        <color rgb="FF000000"/>
        <rFont val="Calibri"/>
        <family val="2"/>
      </rPr>
      <t>R15m-R60m with a duration of 3-5years</t>
    </r>
    <r>
      <rPr>
        <sz val="10"/>
        <color rgb="FF000000"/>
        <rFont val="Calibri"/>
        <family val="2"/>
      </rPr>
      <t>."</t>
    </r>
  </si>
  <si>
    <t>"Persistent Energy Capital (PEC) focuses on providing off-grid households with access to basic energy services: electric light, mobile phone charging, fans, radios, TV and Internet.  PEC has invested in and incubated businesses with a commercial approach to providing such as energy services to low-income customers in sub-Saharan Africa.  PEC also provides financial and strategic advice to investors, governments and others participating in the development of distributed renewable energy sector. Aimed at private sector and community based organisations."</t>
  </si>
  <si>
    <t>"Senatla Capital is the general partner and manager of various private equity funds.  It also manages on balance sheet investments that do not fall within its private equity funds’ mandates. The primary investment strategies pursued in its funds are Growth Capital, Black Economic Empowerment (“BEE”) Secondaries and Mezzanine Debt/Equity Risk Capital. Raising for 3rd fund, R50m per deal, fund size: R750m – R1bn, Fund period: 7 years
Growth – direct equity. Min 25%. 50% of fund. BEE secondary – invest in underlying vehicle at discount (40%). Mezzanine – fund BEE investors in their equity participation. Strong BS, predictable cashflow, good security (10%)."</t>
  </si>
  <si>
    <t>"Treacle provides equity capital to mid-market private and small cap listed companies in Southern Africa. Equity capital to mid-market private and small cap listed companies in Southern Africa.</t>
  </si>
  <si>
    <r>
      <rPr>
        <b/>
        <sz val="10"/>
        <color rgb="FF000000"/>
        <rFont val="Calibri"/>
        <family val="2"/>
      </rPr>
      <t>Evolution One fund</t>
    </r>
    <r>
      <rPr>
        <sz val="10"/>
        <color rgb="FF000000"/>
        <rFont val="Calibri"/>
        <family val="2"/>
      </rPr>
      <t>, managed by Inspired Evolution from the is a private equity fund providing equity financing to innovative projects on the clean energy (private or public) and clean technologies sectors in the Southern African Development Community. 
Fund size:</t>
    </r>
    <r>
      <rPr>
        <b/>
        <sz val="10"/>
        <color rgb="FF000000"/>
        <rFont val="Calibri"/>
        <family val="2"/>
      </rPr>
      <t xml:space="preserve"> Evolution One Fund + Evolution II (under development): R1bn + R2.5bn.
"Inspired Evolution is a specialised investment management business and authorised financial services provider located principally in South Africa. Inspired Evolution offers a dedicated team with a deep global track record positioned to lead clean energy and resource efficiency investments across sub-Saharan Africa."
</t>
    </r>
  </si>
  <si>
    <r>
      <t xml:space="preserve">TBI is a South African alternative investment and fund management group holding company -the business consists of a number of direct investments in fund management and related associates (Awande Investment Managers, Bridge Capital and TBI Investment Managers), and three core investment portfolios.
We offer equity holders in renewable energy independent power producer procurement (REIPPP) projects, financing or refinancing where they have existing debt. In order to partially realise capital committed to these REIPPP projects, we have secured the participation of </t>
    </r>
    <r>
      <rPr>
        <b/>
        <sz val="10"/>
        <color rgb="FF000000"/>
        <rFont val="Calibri"/>
        <family val="2"/>
      </rPr>
      <t>Credit Suisse</t>
    </r>
    <r>
      <rPr>
        <sz val="10"/>
        <color rgb="FF000000"/>
        <rFont val="Calibri"/>
        <family val="2"/>
      </rPr>
      <t xml:space="preserve"> as the provider of funding for this initiative, on an exclusive basis.</t>
    </r>
  </si>
  <si>
    <t>Technology</t>
  </si>
  <si>
    <r>
      <t>"</t>
    </r>
    <r>
      <rPr>
        <b/>
        <sz val="10"/>
        <color rgb="FF000000"/>
        <rFont val="Calibri"/>
        <family val="2"/>
      </rPr>
      <t>Adlevo Capital</t>
    </r>
    <r>
      <rPr>
        <sz val="10"/>
        <color rgb="FF000000"/>
        <rFont val="Calibri"/>
        <family val="2"/>
      </rPr>
      <t xml:space="preserve"> is the first private equity firm focused on investments into technology-enabled companies across sub-Saharan Africa. We are a Mauritius-based private equity fund manager founded on the belief that meaningful development in sub-Saharan Africa will be driven by the application of technology to business processes across all sectors. Available to the private sector and Adlevo Capital maintains active local presence through its base in Lagos, Nigeria."</t>
    </r>
  </si>
  <si>
    <t>R 1 billion - R1.5 billion</t>
  </si>
  <si>
    <r>
      <t xml:space="preserve">The Infrastructure Development Fund (IDF) was established in 2002 by the Dutch government and FMO to support private investments in infrastructure. </t>
    </r>
    <r>
      <rPr>
        <b/>
        <sz val="10"/>
        <color rgb="FF000000"/>
        <rFont val="Calibri"/>
        <family val="2"/>
      </rPr>
      <t>Early stage equity for new project development. Private sector in the financial institutions, energy, agribusiness, food &amp; water. Supports entreupreuneurship in developing countries. FMO is the Dutch development bank supporting sustainable private sector growth in developing and emerging markets. It predominantly invests in financial institutions; energy and agribusiness, food &amp; water"</t>
    </r>
  </si>
  <si>
    <r>
      <t>"</t>
    </r>
    <r>
      <rPr>
        <b/>
        <sz val="10"/>
        <color rgb="FF000000"/>
        <rFont val="Calibri"/>
        <family val="2"/>
      </rPr>
      <t>IKI</t>
    </r>
    <r>
      <rPr>
        <sz val="10"/>
        <color rgb="FF000000"/>
        <rFont val="Calibri"/>
        <family val="2"/>
      </rPr>
      <t>, through its Energy and Climate Fund supports climate and biodiversity projects in developing and newly industrialising countries, as well as in countries in transition. The fund receives funding from carbon emissions trading and has 120 million Euros available for use annually. The BMUB is responsible for a range of government policies which are reflected in the name of the ministry itself. For more than 30 years the Ministry has worked to protect the public from environmental toxins and radiation and establish an intelligent and efficient use of raw materials; it has advanced climate action and promoted a use of natural resources that conserves biodiversity and secures habitats."</t>
    </r>
  </si>
  <si>
    <r>
      <rPr>
        <b/>
        <sz val="10"/>
        <color rgb="FF000000"/>
        <rFont val="Calibri"/>
        <family val="2"/>
      </rPr>
      <t xml:space="preserve">French Agency for Development </t>
    </r>
    <r>
      <rPr>
        <sz val="10"/>
        <color rgb="FF000000"/>
        <rFont val="Calibri"/>
        <family val="2"/>
      </rPr>
      <t>projects in energy, water, municipal sector support and biodiversity. AFD allocates different types of loans. Their terms are determined by the nature of the project and its environment (political, economic, social, environmental impact and context) and the quality of the borrower (sector of activity, rating, guarantees). AFD is the main implementing agency for France’s official development assistance. AFD supports project and programs through grants, loans, guarantee funds and debt reduction-development contracts."</t>
    </r>
  </si>
  <si>
    <t>R 500K - R 5 million</t>
  </si>
  <si>
    <t>R1 million - R 20 million</t>
  </si>
  <si>
    <t>&lt; R 5 million</t>
  </si>
  <si>
    <t xml:space="preserve">Size of investment </t>
  </si>
  <si>
    <r>
      <t xml:space="preserve">The </t>
    </r>
    <r>
      <rPr>
        <b/>
        <sz val="10"/>
        <color rgb="FF000000"/>
        <rFont val="Calibri"/>
        <family val="2"/>
      </rPr>
      <t>Taxation Laws Amendment Act 2011</t>
    </r>
    <r>
      <rPr>
        <sz val="10"/>
        <color rgb="FF000000"/>
        <rFont val="Calibri"/>
        <family val="2"/>
      </rPr>
      <t xml:space="preserve"> introduced specific enhancements to the existing scientific and or technological research and development (R&amp;D) tax incentive provided under Section 11D of the Income Tax Act. </t>
    </r>
    <r>
      <rPr>
        <b/>
        <sz val="10"/>
        <color rgb="FF000000"/>
        <rFont val="Calibri"/>
        <family val="2"/>
      </rPr>
      <t>A company undertaking R&amp;D in the Republic of South Africa qualifies for a 150%  tax deduction of its operational R&amp;D expenditure.</t>
    </r>
  </si>
  <si>
    <r>
      <t xml:space="preserve">SEIF is a 50:50 cost-sharing grant made available on a reimbursable basis, where the </t>
    </r>
    <r>
      <rPr>
        <b/>
        <sz val="10"/>
        <color rgb="FF000000"/>
        <rFont val="Calibri"/>
        <family val="2"/>
      </rPr>
      <t>dti contributes 50% towards qualifying infrastructure projects upon the completion of agreed project milestones</t>
    </r>
    <r>
      <rPr>
        <sz val="10"/>
        <color rgb="FF000000"/>
        <rFont val="Calibri"/>
        <family val="2"/>
      </rPr>
      <t>. The dti’s contribution is capped at a maximum grant of</t>
    </r>
    <r>
      <rPr>
        <b/>
        <sz val="10"/>
        <color rgb="FF000000"/>
        <rFont val="Calibri"/>
        <family val="2"/>
      </rPr>
      <t xml:space="preserve"> R5 million (vat inclusive) </t>
    </r>
    <r>
      <rPr>
        <sz val="10"/>
        <color rgb="FF000000"/>
        <rFont val="Calibri"/>
        <family val="2"/>
      </rPr>
      <t>per qualifying applicant.  Eligible enterprises include municipality of RSA, local municipal as defined in Local Government Municipal Systems Act and provincial government entity</t>
    </r>
  </si>
  <si>
    <r>
      <t xml:space="preserve">The National Department of Tourism (NDT) has established a R142.5 million Green Tourism Incentive Programme (GTIP) over a three-year period (FY 2017/18 to FY2019/20), with a key objective of encouraging privately-owned tourism enterprises to implement responsible tourism practices utilising cleaner and renewable energy sources and the efficient utilisation of water. </t>
    </r>
    <r>
      <rPr>
        <b/>
        <sz val="10"/>
        <color rgb="FF000000"/>
        <rFont val="Calibri"/>
        <family val="2"/>
      </rPr>
      <t xml:space="preserve">GTIP provides grant funding of up to R1 million to qualifying small and micro tourism enterprises </t>
    </r>
    <r>
      <rPr>
        <sz val="10"/>
        <color rgb="FF000000"/>
        <rFont val="Calibri"/>
        <family val="2"/>
      </rPr>
      <t>to reduce their energy and water consumption and costs. The programme is managed by the Industrial Development Corporation (IDC) on behalf of the NDT.</t>
    </r>
  </si>
  <si>
    <t>Co-operative Incentive Scheme</t>
  </si>
  <si>
    <r>
      <t xml:space="preserve">The Agro-Processing Support Scheme (APSS) aims to stimulate investment by the South African agro-processing / beneficiation (agri-business) enterprises. </t>
    </r>
    <r>
      <rPr>
        <b/>
        <sz val="10"/>
        <color rgb="FF000000"/>
        <rFont val="Calibri"/>
        <family val="2"/>
      </rPr>
      <t>The scheme offers a 20% to a 30% cost-sharing grant to a maximum of R20 million over a two-year investment period</t>
    </r>
    <r>
      <rPr>
        <sz val="10"/>
        <color rgb="FF000000"/>
        <rFont val="Calibri"/>
        <family val="2"/>
      </rPr>
      <t>.</t>
    </r>
  </si>
  <si>
    <t>&lt; R 20 million</t>
  </si>
  <si>
    <r>
      <t>Scheme develops export markets for South African products and services and to recruit new foreign direct investment into the country, provide marketing assistance to develop new export markets and grow existing export markets and assist companies to increase their competitive by supporting patent registrations, quality marks and product marks. Scheme b</t>
    </r>
    <r>
      <rPr>
        <b/>
        <sz val="10"/>
        <color rgb="FF000000"/>
        <rFont val="Calibri"/>
        <family val="2"/>
      </rPr>
      <t>enefits include exhibition fees up to a maximum of R50 000, return economy-class airfare, Assist with facilitation to grow FDI through missions and FDI research</t>
    </r>
  </si>
  <si>
    <r>
      <t xml:space="preserve">Rebate received on the purchase and installation of selected energy efficiency / renewable energy products. </t>
    </r>
    <r>
      <rPr>
        <b/>
        <sz val="10"/>
        <color rgb="FF000000"/>
        <rFont val="Calibri"/>
        <family val="2"/>
      </rPr>
      <t>Energy Efficiency project developers with savings more than 500kW and less that 6 months implementation.</t>
    </r>
  </si>
  <si>
    <t>R 250 K - R75 million</t>
  </si>
  <si>
    <t>R 50 K - R 100 K</t>
  </si>
  <si>
    <t>R 50 K - R 5 million</t>
  </si>
  <si>
    <t>R 20 million - R 100 million</t>
  </si>
  <si>
    <r>
      <t xml:space="preserve">ABSA with French Development Agency (AFD) is providing funding of </t>
    </r>
    <r>
      <rPr>
        <b/>
        <sz val="10"/>
        <color rgb="FF000000"/>
        <rFont val="Calibri"/>
        <family val="2"/>
      </rPr>
      <t xml:space="preserve">up to R100 million to private projects </t>
    </r>
    <r>
      <rPr>
        <sz val="10"/>
        <color rgb="FF000000"/>
        <rFont val="Calibri"/>
        <family val="2"/>
      </rPr>
      <t>specifically aimed at driving energy efficiency or renewable energy. In addition, they are offering a 7% rebate of the total loan amount to qualifying projects, along with the expert advice and guidance of a green guru. Investment duration minimum of 3 years.</t>
    </r>
  </si>
  <si>
    <t>GreenFin provides Green Energy Finance Solutions at preferential interest rates. Offers loans for solar installations with vetted suppliers for homes and SMEs with repayment terms between 12 and 60 months</t>
  </si>
  <si>
    <t>R 250 K - R 5 million</t>
  </si>
  <si>
    <r>
      <t>"</t>
    </r>
    <r>
      <rPr>
        <b/>
        <sz val="10"/>
        <color rgb="FF000000"/>
        <rFont val="Calibri"/>
        <family val="2"/>
      </rPr>
      <t>JBIC</t>
    </r>
    <r>
      <rPr>
        <sz val="10"/>
        <color rgb="FF000000"/>
        <rFont val="Calibri"/>
        <family val="2"/>
      </rPr>
      <t xml:space="preserve"> is a policy-based financial institution of Japan, and conducts lending, investment and guarantee operations while complementing the private sector financial institutions. Specifically, it provides advice for Japanese firms, foreign governments and others with respect to utilization of the Kyoto Protocol, including innovative financing for improving project revenues and reducing borrowing costs by using carbon credits, and on the investment climate in host countries." For projects with Japanese exporters or investors taking part. Focus areas: Energy &amp; Natural Resources, Infrastructure &amp; Environment and industry finance (supporting Japanese export products into Africa)
Accessed through a Japanese business partner.</t>
    </r>
  </si>
  <si>
    <r>
      <t>"</t>
    </r>
    <r>
      <rPr>
        <b/>
        <sz val="10"/>
        <color rgb="FF000000"/>
        <rFont val="Calibri"/>
        <family val="2"/>
      </rPr>
      <t>JICA</t>
    </r>
    <r>
      <rPr>
        <sz val="10"/>
        <color rgb="FF000000"/>
        <rFont val="Calibri"/>
        <family val="2"/>
      </rPr>
      <t xml:space="preserve"> is Japan’s development agency in South Africa that focuses on: 1) Promotion of Human Capacity Development and Infrastructure Development, 2) Promotion of Participation of vulnerable groups in Social and Economic Activities, and 3) Promotion of Regional Development in Southern Africa. Intergovernmental work regarding technical cooperation."</t>
    </r>
  </si>
  <si>
    <t>021 4475949</t>
  </si>
  <si>
    <t xml:space="preserve">087 720 1287 </t>
  </si>
  <si>
    <t xml:space="preserve">Sustainable Energy Fund for Africa: Seed/Growth Capital (Component II) </t>
  </si>
  <si>
    <t>Land and Agricultural Development Bank of South Africa</t>
  </si>
  <si>
    <t xml:space="preserve">Debt </t>
  </si>
  <si>
    <t>012 686 0500</t>
  </si>
  <si>
    <t>State Bank of India</t>
  </si>
  <si>
    <t>Working capital finance</t>
  </si>
  <si>
    <t xml:space="preserve">Overdraft </t>
  </si>
  <si>
    <t>HSBC</t>
  </si>
  <si>
    <t>Manage cash and trade flows more efficiently. Whether your goal for improving working capital is to self-fund growth, reduce debt, expand your business reach or enhance your balance sheet – the key to success is gaining more control over cash flows. That’s why our trade and receivables finance solutions help you unlock funds trapped in inventory or receivables to keep the supply chain – and your business – moving forward. Added to this is a full range of commercial banking services designed specifically to help you manage incoming and outgoing cash more efficiently across your entire organisation.</t>
  </si>
  <si>
    <t>Debt/Gurantees</t>
  </si>
  <si>
    <t>011 676 4200</t>
  </si>
  <si>
    <t>IDC</t>
  </si>
  <si>
    <t xml:space="preserve">IDC Gro-E Scheme </t>
  </si>
  <si>
    <t xml:space="preserve">R 1 million - R1 billion </t>
  </si>
  <si>
    <t>0860 693 888</t>
  </si>
  <si>
    <t>Anglo American</t>
  </si>
  <si>
    <t>Zimele</t>
  </si>
  <si>
    <t xml:space="preserve">&lt; R 1 million </t>
  </si>
  <si>
    <t>Lizette Moll/Henry  Synman</t>
  </si>
  <si>
    <t>083 527 2123</t>
  </si>
  <si>
    <t>Enterprise Development Programme (by private sector)</t>
  </si>
  <si>
    <t>International Tourism Marketing Assistance Scheme (ITMAS)</t>
  </si>
  <si>
    <t>Department of Environmental Affairs and Tourism</t>
  </si>
  <si>
    <t>&lt; R 15 000</t>
  </si>
  <si>
    <t>012 310 3427</t>
  </si>
  <si>
    <t xml:space="preserve">The IDC is investing R10-billion over the next five years through its Gro-E Scheme. It offers financial support to start-up businesses, including funding for
buildings, equipment and working capital. It also funds companies wanting to expand provided that they show an ability to create jobs and operate in various sectors </t>
  </si>
  <si>
    <t>The bank is a development finance institution (DFI), wholly owned by Government, whose mandate is to support, promote and facilitate the development and transformation of the agricultural sector. It has a responsibility to support Government’s efforts to increase access to land, provide support for emerging farmers and raise rural incomes.</t>
  </si>
  <si>
    <t>R 4 million - R 30 million</t>
  </si>
  <si>
    <t>US $ 30 million - US $ 75 million</t>
  </si>
  <si>
    <t>US $ 10 million - US $ 30 million</t>
  </si>
  <si>
    <t>012 394 5560</t>
  </si>
  <si>
    <t>Khula Enterprise Finance</t>
  </si>
  <si>
    <t>Small Business Growth Trust Fund</t>
  </si>
  <si>
    <t xml:space="preserve">R  10 K - R 3 million </t>
  </si>
  <si>
    <t xml:space="preserve"> 011 421 2939</t>
  </si>
  <si>
    <t>Khula/Metropolitan Life Limited/The Median Fund (Pty) Ltd</t>
  </si>
  <si>
    <t>Khula/Fabvest Investment Holdings</t>
  </si>
  <si>
    <r>
      <t xml:space="preserve">"The Finnish development policy and development cooperation pursue a human rights based approach to development. The aim is that everyone, including the poorest people, knows their rights and are able to act for their rights." The fund supports initiatives of local NGOs, science and technology communities, universities and other educational and research institutions, independent media, public corporations and cultural institutions (e.g. museums, libraries and theatres), chambers of commerce and commercial associations, organisations in the area of export and investment promotion, businesses, cooperatives, interest groups of companies and employees, foundations and religious organisations. </t>
    </r>
    <r>
      <rPr>
        <b/>
        <sz val="10"/>
        <color rgb="FF000000"/>
        <rFont val="Calibri"/>
        <family val="2"/>
      </rPr>
      <t>The aim is to establish longterm partnerships with a limited number of organizations (3 – 5 every second year)</t>
    </r>
    <r>
      <rPr>
        <sz val="10"/>
        <color rgb="FF000000"/>
        <rFont val="Calibri"/>
        <family val="2"/>
      </rPr>
      <t>, instead of supporting once off activities, seminars, and so forth."</t>
    </r>
  </si>
  <si>
    <t>Enablis Acceleration Fund</t>
  </si>
  <si>
    <t xml:space="preserve">R250 000 - R15 million </t>
  </si>
  <si>
    <r>
      <t xml:space="preserve">"Business Partners is a viability-based risk financing company for formal small and medium-sized businesses in South Africa, and does not have the same security requirements that commercial banks do." </t>
    </r>
    <r>
      <rPr>
        <b/>
        <sz val="10"/>
        <color rgb="FF000000"/>
        <rFont val="Calibri"/>
        <family val="2"/>
      </rPr>
      <t>The company invests between R250 000 and R15 million in SMEs across all sectors, with the exception of farming, on-lending and non-profit organisations</t>
    </r>
    <r>
      <rPr>
        <sz val="10"/>
        <color rgb="FF000000"/>
        <rFont val="Calibri"/>
        <family val="2"/>
      </rPr>
      <t xml:space="preserve">.
Guide to writing a business found on the knowledge hub on the website. Finance enquiries can be made online.
Excludes: On-lending activities, direct farming operations, underground mining and non-profit organisations. </t>
    </r>
  </si>
  <si>
    <r>
      <t xml:space="preserve">"We combine commercial Agri-Investment and sustainability on the African continent, providing investors with a compelling risk/return profile.  We are proud to be associated with Cape Town based leading asset management businesses, Old Mutual Investment Group and Futuregrowth Asset Management. Within South Africa, our approach, which is currently under review, has historically been to acquire farmland and select or recommend a skilled operator for that farm, as well as facilitating finance for development. Productivity on the farm is improved and the farm is leased to the appointed operator. In the other African selected countries in which we operate, land tenure often takes the form of a lease. We typically co-invest into the farming operations as well as being the leaseholder. 
Through this flexible approach, the Fund may generate profits from a </t>
    </r>
    <r>
      <rPr>
        <b/>
        <sz val="10"/>
        <color rgb="FF000000"/>
        <rFont val="Calibri"/>
        <family val="2"/>
      </rPr>
      <t>combination of capital gain, lease income and profit share</t>
    </r>
    <r>
      <rPr>
        <sz val="10"/>
        <color rgb="FF000000"/>
        <rFont val="Calibri"/>
        <family val="2"/>
      </rPr>
      <t>. At the end of the mandated fund term, the farm may be rolled into a new fund, purchased by the operator, or sold to a third party, subject to a due diligence process which includes consideration of that third party’s commitment to environmental and social performance."</t>
    </r>
  </si>
  <si>
    <r>
      <rPr>
        <b/>
        <sz val="10"/>
        <color rgb="FF000000"/>
        <rFont val="Calibri"/>
        <family val="2"/>
      </rPr>
      <t>Actis</t>
    </r>
    <r>
      <rPr>
        <sz val="10"/>
        <color rgb="FF000000"/>
        <rFont val="Calibri"/>
        <family val="2"/>
      </rPr>
      <t xml:space="preserve"> is a global platform offering a multi-asset strategy through the asset classes of private equity, energy, infrastructure and real estate. Our Energy funds invest in and aggregate energy assets into scalable regional generation platforms, targeting attractive risk-adjusted returns. The certainty of long term, contracted cash flow protects the downside of these investments. In addition to generation we invest in high growth monopoly distribution platforms where electricity is in scarce supply. </t>
    </r>
  </si>
  <si>
    <r>
      <t xml:space="preserve">Thi is a multi-purpose programme supports </t>
    </r>
    <r>
      <rPr>
        <b/>
        <sz val="10"/>
        <color rgb="FF00B050"/>
        <rFont val="Calibri"/>
        <family val="2"/>
      </rPr>
      <t>small and medium enterprises and supplier development</t>
    </r>
    <r>
      <rPr>
        <sz val="10"/>
        <color rgb="FF000000"/>
        <rFont val="Calibri"/>
        <family val="2"/>
      </rPr>
      <t xml:space="preserve">, facilitating entrepreneurial opportunities and the subsequent creation of jobs in communities located in the vicinity of Anglo American Mines. </t>
    </r>
    <r>
      <rPr>
        <b/>
        <sz val="10"/>
        <color rgb="FF00B050"/>
        <rFont val="Calibri"/>
        <family val="2"/>
      </rPr>
      <t xml:space="preserve">The fund assists entrepreneurs with seed and working capital through loan finance of up to R1 million per project at preferential interest rates. </t>
    </r>
    <r>
      <rPr>
        <sz val="10"/>
        <color rgb="FF000000"/>
        <rFont val="Calibri"/>
        <family val="2"/>
      </rPr>
      <t xml:space="preserve">Beneficiaries must operate in Anglo’s business unit areas and comply with the black economic empowerment (BEE) criteria set by the Mining Charter. While the fund assists micro enterprises with seed and working capital, the hubs extend a guiding hand to entrepreneurs at walk-in centres. </t>
    </r>
    <r>
      <rPr>
        <b/>
        <sz val="10"/>
        <color rgb="FF00B050"/>
        <rFont val="Calibri"/>
        <family val="2"/>
      </rPr>
      <t>Businesses applying for finance must operate within 50 kilometres or within the labour sending area of an Anglo American mining operation serviced by a hub and the entrepreneur must be a member of the local community.</t>
    </r>
  </si>
  <si>
    <t>4Di Capital Fund I</t>
  </si>
  <si>
    <t>4Di Exponential Tech Fund I</t>
  </si>
  <si>
    <t>AHV  Fund 1</t>
  </si>
  <si>
    <t>Capital Projects Feasibility Programme (CPFP)</t>
  </si>
  <si>
    <t>012 394-1037</t>
  </si>
  <si>
    <t>James Koko</t>
  </si>
  <si>
    <t>R 100 K - R 5 million</t>
  </si>
  <si>
    <r>
      <t xml:space="preserve">The International Tourism Marketing Assistance Scheme (ITMAS) provides </t>
    </r>
    <r>
      <rPr>
        <b/>
        <sz val="10"/>
        <rFont val="Calibri"/>
        <family val="2"/>
      </rPr>
      <t>partial compensation to businesses for certain costs incurred in respect of activities aimed at promoting tourism to South Africa</t>
    </r>
    <r>
      <rPr>
        <sz val="10"/>
        <rFont val="Calibri"/>
        <family val="2"/>
      </rPr>
      <t xml:space="preserve">. Emerging businesses can </t>
    </r>
    <r>
      <rPr>
        <b/>
        <sz val="10"/>
        <rFont val="Calibri"/>
        <family val="2"/>
      </rPr>
      <t>claim up to R15 000 for marketing material, whilst non-emerging businesses may claim up to R8 000</t>
    </r>
    <r>
      <rPr>
        <sz val="10"/>
        <rFont val="Calibri"/>
        <family val="2"/>
      </rPr>
      <t xml:space="preserve">. Financial assistance is subject to departmental approval and is granted at the sole discretion of the Director- General of the Department of Environmental Affairs and Tourism.
Only companies registered with the Department of Environmental Affairs and Tourism qualify for financial assistance in respect of individual exhibition participation. </t>
    </r>
  </si>
  <si>
    <r>
      <t xml:space="preserve">"The Capital Projects Feasibility Programme (CPFP) is a </t>
    </r>
    <r>
      <rPr>
        <b/>
        <sz val="10"/>
        <rFont val="Calibri"/>
        <family val="2"/>
      </rPr>
      <t>cost-sharing grant</t>
    </r>
    <r>
      <rPr>
        <sz val="10"/>
        <rFont val="Calibri"/>
        <family val="2"/>
      </rPr>
      <t xml:space="preserve"> that contributes to the cost of feasibility studies likely to lead to projects that will increase local exports and stimulate the market for South African capital goods and services. The primary objectives of the programme is to facilitate feasibility studies that are likely to lead to high-impact projects which will stimulate value-adding economic activities in South Africa as this will have greater impact on the country’s industrial policy objectives"</t>
    </r>
  </si>
  <si>
    <r>
      <t xml:space="preserve">The </t>
    </r>
    <r>
      <rPr>
        <b/>
        <sz val="10"/>
        <rFont val="Calibri"/>
        <family val="2"/>
      </rPr>
      <t>Department of Environmental Affairs</t>
    </r>
    <r>
      <rPr>
        <sz val="10"/>
        <rFont val="Calibri"/>
        <family val="2"/>
      </rPr>
      <t xml:space="preserve"> (DEA) has set aside </t>
    </r>
    <r>
      <rPr>
        <b/>
        <sz val="10"/>
        <rFont val="Calibri"/>
        <family val="2"/>
      </rPr>
      <t>R800 million</t>
    </r>
    <r>
      <rPr>
        <sz val="10"/>
        <rFont val="Calibri"/>
        <family val="2"/>
      </rPr>
      <t xml:space="preserve"> to establish the Green Fund. The DEA has appointed the DBSA as the implementing agent of the Green Fund. The Green Fund aims to provide catalytic finance to facilitate investment in green initiatives that will support South Africa’s transition towards a green economy. This excludes projects which cannot demonstrate significant funding gap, and would have proceeded anyway. </t>
    </r>
  </si>
  <si>
    <r>
      <t xml:space="preserve">Joint initiative from SA government and European Union funded by European Union for a </t>
    </r>
    <r>
      <rPr>
        <b/>
        <sz val="10"/>
        <rFont val="Calibri"/>
        <family val="2"/>
      </rPr>
      <t>total of 100 million euros to support NDP and Regional Infrastructure Development Master Plan of SADC</t>
    </r>
    <r>
      <rPr>
        <sz val="10"/>
        <rFont val="Calibri"/>
        <family val="2"/>
      </rPr>
      <t>. This fund is expected to support the implementation of the government infrastructure programme and to address the constraints to infrastructure development in  South Africa and in the SADC region</t>
    </r>
  </si>
  <si>
    <r>
      <t xml:space="preserve">The programme was created to address the shortage in project preparation funding for infrastructure projects in the region. The funds are administered, managed and disbursed by DBSA on behalf of the SADC Secretariat and is funded by the </t>
    </r>
    <r>
      <rPr>
        <b/>
        <sz val="10"/>
        <rFont val="Calibri"/>
        <family val="2"/>
      </rPr>
      <t>European Union and KFW Investment Bank</t>
    </r>
    <r>
      <rPr>
        <sz val="10"/>
        <rFont val="Calibri"/>
        <family val="2"/>
      </rPr>
      <t>. The funds provides technical assistance for infrastructure project identification, preparation and feasibility studies with a view of making  the projects bankable and attractive to investors.</t>
    </r>
  </si>
  <si>
    <r>
      <t xml:space="preserve">The </t>
    </r>
    <r>
      <rPr>
        <b/>
        <sz val="10"/>
        <rFont val="Calibri"/>
        <family val="2"/>
      </rPr>
      <t>Sustainable Settlements Facility</t>
    </r>
    <r>
      <rPr>
        <sz val="10"/>
        <rFont val="Calibri"/>
        <family val="2"/>
      </rPr>
      <t xml:space="preserve"> (SSF) aims to assist by providing a financial product to scale up energy efficiency interventions for large-scale, low-income public housing in order to meet a climate compatible future that addresses South Africa’s development agenda. The Fund is being managed between South South North and the DBSA.</t>
    </r>
  </si>
  <si>
    <r>
      <t xml:space="preserve">The focus is promising local private sector RE/EE project opportunities that are close to commercial maturity but need a limited amount of ‘bridging’ finance (~R1m) to enable sustainable business growth. The applications are sought in </t>
    </r>
    <r>
      <rPr>
        <b/>
        <sz val="10"/>
        <rFont val="Calibri"/>
        <family val="2"/>
      </rPr>
      <t>two stages: 1) concept notes (current stage)</t>
    </r>
    <r>
      <rPr>
        <sz val="10"/>
        <rFont val="Calibri"/>
        <family val="2"/>
      </rPr>
      <t xml:space="preserve">, based on which successfully ranked applicants are invited to submit </t>
    </r>
    <r>
      <rPr>
        <b/>
        <sz val="10"/>
        <rFont val="Calibri"/>
        <family val="2"/>
      </rPr>
      <t>2) full project proposals</t>
    </r>
    <r>
      <rPr>
        <sz val="10"/>
        <rFont val="Calibri"/>
        <family val="2"/>
      </rPr>
      <t>. To qualify for EEP support projects should also demonstrate high innovation in delivering energy services, facilitating technology transfer, encouraging cooperation and local stakeholders’ participation in projects. Focus areas are: biomass, waste-to-energy (includng biogas), solar PV, wind power, hydro and hybrid.</t>
    </r>
  </si>
  <si>
    <r>
      <t>Products including</t>
    </r>
    <r>
      <rPr>
        <b/>
        <sz val="10"/>
        <rFont val="Calibri"/>
        <family val="2"/>
      </rPr>
      <t xml:space="preserve"> direct loans, intermediated loans</t>
    </r>
    <r>
      <rPr>
        <sz val="10"/>
        <rFont val="Calibri"/>
        <family val="2"/>
      </rPr>
      <t xml:space="preserve"> through public or private financing institutions, as well as the </t>
    </r>
    <r>
      <rPr>
        <b/>
        <sz val="10"/>
        <rFont val="Calibri"/>
        <family val="2"/>
      </rPr>
      <t>GEEREF fund</t>
    </r>
    <r>
      <rPr>
        <sz val="10"/>
        <rFont val="Calibri"/>
        <family val="2"/>
      </rPr>
      <t xml:space="preserve"> which takes minority investments in specialist renewable energy and energy efficiency private equity funds developing small and medium-sized projects in emerging markets.  Amount to be discussed with the following range available: </t>
    </r>
    <r>
      <rPr>
        <b/>
        <sz val="10"/>
        <rFont val="Calibri"/>
        <family val="2"/>
      </rPr>
      <t>ca. R250,000 - Up to 50% of total project costs; Duration: Up to 20 years</t>
    </r>
    <r>
      <rPr>
        <sz val="10"/>
        <rFont val="Calibri"/>
        <family val="2"/>
      </rPr>
      <t xml:space="preserve">. Depends largely on expected economic life of underlying assets being financed. </t>
    </r>
  </si>
  <si>
    <r>
      <t xml:space="preserve">The Special Climate Change Fund is a </t>
    </r>
    <r>
      <rPr>
        <b/>
        <sz val="10"/>
        <rFont val="Calibri"/>
        <family val="2"/>
      </rPr>
      <t>United Nations Framework Convention on Climate Change</t>
    </r>
    <r>
      <rPr>
        <sz val="10"/>
        <rFont val="Calibri"/>
        <family val="2"/>
      </rPr>
      <t xml:space="preserve"> created multilateral fund, operated by the </t>
    </r>
    <r>
      <rPr>
        <b/>
        <sz val="10"/>
        <rFont val="Calibri"/>
        <family val="2"/>
      </rPr>
      <t>Global Environment Facility worth ~US$ 350m</t>
    </r>
    <r>
      <rPr>
        <sz val="10"/>
        <rFont val="Calibri"/>
        <family val="2"/>
      </rPr>
      <t>. The SCCF is open to all vulnerable developing countries. It is designed to finance activities, programs and measures related to climate change that are complementary to those funded through the climate change focal area of the GEF, under the following four financing windows.
1. Adaptation to climate change (Top priority)
2. Technology transfer;
3. Mitigation in selected sectors including: energy, transport, industry, agriculture, forestry and waste management; and
4. Economic diversification.</t>
    </r>
  </si>
  <si>
    <r>
      <t xml:space="preserve">Amount TBD </t>
    </r>
    <r>
      <rPr>
        <b/>
        <sz val="10"/>
        <rFont val="Calibri"/>
        <family val="2"/>
      </rPr>
      <t>(R4m-R30m) for a duration of 4 years</t>
    </r>
    <r>
      <rPr>
        <sz val="10"/>
        <rFont val="Calibri"/>
        <family val="2"/>
      </rPr>
      <t>. Private sector only.</t>
    </r>
  </si>
  <si>
    <r>
      <t xml:space="preserve">Across our portfolio, we support innovators who are committed to using and generating rigorous evidence about what works in developing countries. We use a staged funding approach at the Global Innovation Fund. </t>
    </r>
    <r>
      <rPr>
        <b/>
        <sz val="10"/>
        <rFont val="Calibri"/>
        <family val="2"/>
      </rPr>
      <t>Applicants should meaningfully improve the lives of those living with less than  $5 PPP per day</t>
    </r>
    <r>
      <rPr>
        <sz val="10"/>
        <rFont val="Calibri"/>
        <family val="2"/>
      </rPr>
      <t xml:space="preserve">. The more evidence you have of the effectiveness of your innovation, and the larger its scale, the larger our potential investment and funding has caps  at each stage: </t>
    </r>
    <r>
      <rPr>
        <b/>
        <sz val="10"/>
        <rFont val="Calibri"/>
        <family val="2"/>
      </rPr>
      <t>Pilot - $ 230, 000; Test &amp; transition - $ 2.3 million; Scale - $15 million</t>
    </r>
  </si>
  <si>
    <r>
      <t>"</t>
    </r>
    <r>
      <rPr>
        <b/>
        <sz val="10"/>
        <rFont val="Calibri"/>
        <family val="2"/>
      </rPr>
      <t>IFU and Danish Climate Investment Fund</t>
    </r>
    <r>
      <rPr>
        <sz val="10"/>
        <rFont val="Calibri"/>
        <family val="2"/>
      </rPr>
      <t xml:space="preserve"> (KIF) have invested in over 60 climate-related projects in more than 20 countries in Africa, Asia, Latin America and Eastern Europe. Therefore, we have significant knowledge and insight into conditions, opportunities and challenges when implementing investments in developing countries and emerging markets far from Denmark."</t>
    </r>
  </si>
  <si>
    <r>
      <t xml:space="preserve">Available to private sector development projects, IFC does not lend directly to micro, small, and medium enterprises or individual entrepreneurs, but many of our investment clients are financial intermediaries that on-lend to smaller businesses. </t>
    </r>
    <r>
      <rPr>
        <b/>
        <sz val="10"/>
        <rFont val="Calibri"/>
        <family val="2"/>
      </rPr>
      <t>Applicants should be located in developing country that is a member of IFC. Submit an investment proposal to the country office</t>
    </r>
    <r>
      <rPr>
        <sz val="10"/>
        <rFont val="Calibri"/>
        <family val="2"/>
      </rPr>
      <t>.</t>
    </r>
  </si>
  <si>
    <r>
      <t xml:space="preserve">RE and EE projects in the private and public sector. Over the next four years, </t>
    </r>
    <r>
      <rPr>
        <b/>
        <sz val="10"/>
        <rFont val="Calibri"/>
        <family val="2"/>
      </rPr>
      <t xml:space="preserve">REEEP seeks to leverage R50 million of donor funding </t>
    </r>
    <r>
      <rPr>
        <sz val="10"/>
        <rFont val="Calibri"/>
        <family val="2"/>
      </rPr>
      <t xml:space="preserve">into </t>
    </r>
    <r>
      <rPr>
        <b/>
        <sz val="10"/>
        <rFont val="Calibri"/>
        <family val="2"/>
      </rPr>
      <t>R1 billion</t>
    </r>
    <r>
      <rPr>
        <sz val="10"/>
        <rFont val="Calibri"/>
        <family val="2"/>
      </rPr>
      <t xml:space="preserve"> of private investment in clean energy solutions by 2022.</t>
    </r>
  </si>
  <si>
    <r>
      <t xml:space="preserve">It will mainly target  renewable energy  and  energy efficiency  projects  requiring  total  investments  of  </t>
    </r>
    <r>
      <rPr>
        <b/>
        <sz val="10"/>
        <rFont val="Calibri"/>
        <family val="2"/>
      </rPr>
      <t>USD$ 10 – 30  million</t>
    </r>
    <r>
      <rPr>
        <sz val="10"/>
        <rFont val="Calibri"/>
        <family val="2"/>
      </rPr>
      <t xml:space="preserve"> range. Funding available for private sector only</t>
    </r>
  </si>
  <si>
    <r>
      <t xml:space="preserve">The </t>
    </r>
    <r>
      <rPr>
        <b/>
        <sz val="10"/>
        <rFont val="Calibri"/>
        <family val="2"/>
      </rPr>
      <t>GEF SGP</t>
    </r>
    <r>
      <rPr>
        <sz val="10"/>
        <rFont val="Calibri"/>
        <family val="2"/>
      </rPr>
      <t xml:space="preserve"> provides grant funding to NGOs and CBOs in developing countries to enable them to implement projects in the areas of climate change, and the environment. These projects must meet environmental objectives and also support poverty reduction and local empowerment objectives. Excludes: Research projects, conferences, individuals, bursaries, salaries. </t>
    </r>
    <r>
      <rPr>
        <b/>
        <sz val="10"/>
        <rFont val="Calibri"/>
        <family val="2"/>
      </rPr>
      <t>The fund is valued at US$ 1.5 million with a maximum investment of US$ 50k over a 2 year duration</t>
    </r>
    <r>
      <rPr>
        <sz val="10"/>
        <rFont val="Calibri"/>
        <family val="2"/>
      </rPr>
      <t>.</t>
    </r>
  </si>
  <si>
    <r>
      <rPr>
        <b/>
        <sz val="10"/>
        <rFont val="Calibri"/>
        <family val="2"/>
      </rPr>
      <t>World Bank Green Bonds</t>
    </r>
    <r>
      <rPr>
        <sz val="10"/>
        <rFont val="Calibri"/>
        <family val="2"/>
      </rPr>
      <t xml:space="preserve"> are an opportunity to invest in climate solutions through a high quality credit fixed income product. The triple-A credit quality of the Green Bonds is the same as for any other World Bank bonds. Positive environmental returns by supporting World Bank projects addressing mitigation and adaptation solutions for climate change</t>
    </r>
  </si>
  <si>
    <r>
      <rPr>
        <b/>
        <sz val="10"/>
        <rFont val="Calibri"/>
        <family val="2"/>
      </rPr>
      <t>IDA18</t>
    </r>
    <r>
      <rPr>
        <sz val="10"/>
        <rFont val="Calibri"/>
        <family val="2"/>
      </rPr>
      <t xml:space="preserve"> was finalized in December 2016 and will finance projects (bonds to complement donor funding) over the three-year period from July 1, 2017 to June 30, 2020. $45-billion has been set aside for Africa. Procurement activities cover everything from engineering feasibility studies and civil works.</t>
    </r>
  </si>
  <si>
    <t>Working Capital loans help a business entity for procuring inventories, managing cash flows, supporting supply chains, funding production and marketing operations etc.
SBI’s Working Capital Finance products comprise a spectrum of funded and non-funded facilities ranging from overdrafts to structured loans to meet demands from industry, trade and services sector.
-Funded facilities include overdrafts, demand loans and bills discounting.
- Non-fund based facilities comprise letters of credit, bank guarantees and forward contracts</t>
  </si>
  <si>
    <r>
      <t xml:space="preserve">4Di Capital is an independent venture capital fund manager based in South Africa’s “Silicon Cape”, specialising in high-growth technology venture opportunities, at the seed, early-and growth-funding stages. The fund manager has offices in Cape Town, South Africa and Atlanta, Georgia, U.S.A. </t>
    </r>
    <r>
      <rPr>
        <b/>
        <sz val="10"/>
        <rFont val="Calibri"/>
        <family val="2"/>
      </rPr>
      <t>The 4Di Capital Fund I</t>
    </r>
    <r>
      <rPr>
        <sz val="10"/>
        <rFont val="Calibri"/>
        <family val="2"/>
      </rPr>
      <t xml:space="preserve"> is 4Di Capital's first fund and opened in 2011 as a general early-stage technology venture capital fund. </t>
    </r>
    <r>
      <rPr>
        <b/>
        <sz val="10"/>
        <rFont val="Calibri"/>
        <family val="2"/>
      </rPr>
      <t>Launched during the very early stages of the nascent and growing start-up ecosystem in South Africa</t>
    </r>
    <r>
      <rPr>
        <sz val="10"/>
        <rFont val="Calibri"/>
        <family val="2"/>
      </rPr>
      <t xml:space="preserve">, the fund is now fully invested. venture capital fund manager based in Cape Town, South Africa, which specialises in the Southern and Eastern Africa region. </t>
    </r>
  </si>
  <si>
    <r>
      <t xml:space="preserve">The </t>
    </r>
    <r>
      <rPr>
        <b/>
        <sz val="10"/>
        <rFont val="Calibri"/>
        <family val="2"/>
      </rPr>
      <t>4Di Exponential Tech Fund I</t>
    </r>
    <r>
      <rPr>
        <sz val="10"/>
        <rFont val="Calibri"/>
        <family val="2"/>
      </rPr>
      <t xml:space="preserve"> is 4Di Capital’s second fund and opened in 2016 with Momentum Metropolitan Holdings (MMH) as the anchor LP.
The fund’s mandate includes </t>
    </r>
    <r>
      <rPr>
        <b/>
        <sz val="10"/>
        <rFont val="Calibri"/>
        <family val="2"/>
      </rPr>
      <t>seed, early- and growth- stage</t>
    </r>
    <r>
      <rPr>
        <sz val="10"/>
        <rFont val="Calibri"/>
        <family val="2"/>
      </rPr>
      <t xml:space="preserve"> investments into South African and African scalable technology opportunities in the broader general wellness, </t>
    </r>
    <r>
      <rPr>
        <b/>
        <sz val="10"/>
        <rFont val="Calibri"/>
        <family val="2"/>
      </rPr>
      <t>FinTech, InsurTech and HealthTech verticals</t>
    </r>
    <r>
      <rPr>
        <sz val="10"/>
        <rFont val="Calibri"/>
        <family val="2"/>
      </rPr>
      <t>, particularly those with ambitions to scale their operations into international markets</t>
    </r>
  </si>
  <si>
    <r>
      <t>Edge Growth has</t>
    </r>
    <r>
      <rPr>
        <b/>
        <sz val="10"/>
        <rFont val="Calibri"/>
        <family val="2"/>
      </rPr>
      <t xml:space="preserve"> two funds </t>
    </r>
    <r>
      <rPr>
        <sz val="10"/>
        <rFont val="Calibri"/>
        <family val="2"/>
      </rPr>
      <t xml:space="preserve">which would be in a position to fund Green projects, which typically provide  growth funding to SMMEs that have high levels of job creation. 
</t>
    </r>
    <r>
      <rPr>
        <b/>
        <sz val="10"/>
        <rFont val="Calibri"/>
        <family val="2"/>
      </rPr>
      <t>R1 million - R 20 million</t>
    </r>
    <r>
      <rPr>
        <sz val="10"/>
        <rFont val="Calibri"/>
        <family val="2"/>
      </rPr>
      <t xml:space="preserve">; </t>
    </r>
    <r>
      <rPr>
        <b/>
        <sz val="10"/>
        <rFont val="Calibri"/>
        <family val="2"/>
      </rPr>
      <t xml:space="preserve">5-7yrs. </t>
    </r>
    <r>
      <rPr>
        <sz val="10"/>
        <rFont val="Calibri"/>
        <family val="2"/>
      </rPr>
      <t>SMEs that have limited equity or don't qualify for credit from a bank.  Ideally post-revenue with &lt;R10m EBITDA.</t>
    </r>
  </si>
  <si>
    <r>
      <rPr>
        <b/>
        <sz val="10"/>
        <rFont val="Calibri"/>
        <family val="2"/>
      </rPr>
      <t>"Khula Enterprise Finance Limited</t>
    </r>
    <r>
      <rPr>
        <sz val="10"/>
        <rFont val="Calibri"/>
        <family val="2"/>
      </rPr>
      <t xml:space="preserve"> is an agency of the Department of Trade and Industry (DTI) established in 1996 to facilitate access to finance for SMMEs. It is one of the funds being transferred to the </t>
    </r>
    <r>
      <rPr>
        <b/>
        <sz val="10"/>
        <rFont val="Calibri"/>
        <family val="2"/>
      </rPr>
      <t>Department of Economic Development</t>
    </r>
    <r>
      <rPr>
        <sz val="10"/>
        <rFont val="Calibri"/>
        <family val="2"/>
      </rPr>
      <t xml:space="preserve">. Khula provides assistance through various delivery channels. These include commercial banks, retail financial intermediaries (RFIs) and micro credit outlets (MCOs). Each RFI has to contribute towards the achievement of Khula`s developmental impact objectives, such as providing funding to SMEs which are black owned, women owned and from rural areas. </t>
    </r>
    <r>
      <rPr>
        <b/>
        <sz val="10"/>
        <rFont val="Calibri"/>
        <family val="2"/>
      </rPr>
      <t xml:space="preserve">Khula restricts its RFIs to on-lending a minimum of R10 000 and a maximum of R3 million per SME. </t>
    </r>
    <r>
      <rPr>
        <sz val="10"/>
        <rFont val="Calibri"/>
        <family val="2"/>
      </rPr>
      <t>"</t>
    </r>
  </si>
  <si>
    <r>
      <t xml:space="preserve">This non-sector specific fund is a partnership between </t>
    </r>
    <r>
      <rPr>
        <b/>
        <sz val="10"/>
        <rFont val="Calibri"/>
        <family val="2"/>
      </rPr>
      <t>Khula and Fabvest Investment Holdings (FABCOS)</t>
    </r>
    <r>
      <rPr>
        <sz val="10"/>
        <rFont val="Calibri"/>
        <family val="2"/>
      </rPr>
      <t xml:space="preserve">.  It provides </t>
    </r>
    <r>
      <rPr>
        <b/>
        <sz val="10"/>
        <rFont val="Calibri"/>
        <family val="2"/>
      </rPr>
      <t>finance start-ups, expansions, bridging finance and asset based finance</t>
    </r>
    <r>
      <rPr>
        <sz val="10"/>
        <rFont val="Calibri"/>
        <family val="2"/>
      </rPr>
      <t xml:space="preserve"> to qualifying SMEs, qualifying SMEs with the necessary infrastructural support and resources, fosters entrepreneurship within the SME sector and, reaches out to SMEs in priority provinces of South Africa. Fund also aims to migrates Black businesses from the informal sector to formal sector</t>
    </r>
  </si>
  <si>
    <r>
      <t xml:space="preserve">The Enablis Acceleration Fund is a partnership between Enablis Financial Corporation SA (Pty) Ltd and Khula Enterprise Finance Limited. </t>
    </r>
    <r>
      <rPr>
        <b/>
        <sz val="10"/>
        <rFont val="Calibri"/>
        <family val="2"/>
      </rPr>
      <t>It is currently capitalised at R50m</t>
    </r>
    <r>
      <rPr>
        <sz val="10"/>
        <rFont val="Calibri"/>
        <family val="2"/>
      </rPr>
      <t xml:space="preserve">. Its purpose is to improve access to early-stage funding to SMEs, reach out to SMEs in remote/rural provinces and create new sustainable jobs. </t>
    </r>
    <r>
      <rPr>
        <b/>
        <sz val="10"/>
        <rFont val="Calibri"/>
        <family val="2"/>
      </rPr>
      <t>SMEs that need working capital and or asset finance.</t>
    </r>
  </si>
  <si>
    <r>
      <rPr>
        <b/>
        <sz val="10"/>
        <rFont val="Calibri"/>
        <family val="2"/>
      </rPr>
      <t>Angel Hub Ventures</t>
    </r>
    <r>
      <rPr>
        <sz val="10"/>
        <rFont val="Calibri"/>
        <family val="2"/>
      </rPr>
      <t xml:space="preserve"> invest in highly scalable businesses with strong leadership, customer traction, a viable business model &amp; an executable business plan. </t>
    </r>
    <r>
      <rPr>
        <b/>
        <sz val="10"/>
        <rFont val="Calibri"/>
        <family val="2"/>
      </rPr>
      <t>Considering the early stage of the ventures it invests in, they usually take a meaningful minority equity stake.</t>
    </r>
    <r>
      <rPr>
        <sz val="10"/>
        <rFont val="Calibri"/>
        <family val="2"/>
      </rPr>
      <t xml:space="preserve"> The cash goes straight into the business, they do not buy founders out – and always invest in the holding company where the intellectual property lies. The first round investments range from 1 to 10 million Rand. All investments are milestone based and they have the ability to provide follow on funding. Angel seed fund investing into lean startups with disruptive business models and technologies. Highly scalable ventures, not capital intensive, disrupting existing business models based on a lean methodology. Capital intensive models and  property. </t>
    </r>
    <r>
      <rPr>
        <b/>
        <sz val="10"/>
        <rFont val="Calibri"/>
        <family val="2"/>
      </rPr>
      <t>R500k-R5m</t>
    </r>
  </si>
  <si>
    <t>021 417 6520</t>
  </si>
  <si>
    <r>
      <rPr>
        <b/>
        <sz val="10"/>
        <rFont val="Calibri"/>
        <family val="2"/>
      </rPr>
      <t xml:space="preserve">We actively provide venture capital and growth funding through our first fund of €39m. </t>
    </r>
    <r>
      <rPr>
        <sz val="10"/>
        <rFont val="Calibri"/>
        <family val="2"/>
      </rPr>
      <t xml:space="preserve">We invest in innovative technology companies with a proven track record of growth and a business model that is substantiated by the generation of historical revenue. </t>
    </r>
    <r>
      <rPr>
        <b/>
        <sz val="10"/>
        <rFont val="Calibri"/>
        <family val="2"/>
      </rPr>
      <t>Besides innovative technology and growth, we also seek to find companies that are managed by like-minded skilled individuals who understand what it takes to build and exit a global business.</t>
    </r>
    <r>
      <rPr>
        <sz val="10"/>
        <rFont val="Calibri"/>
        <family val="2"/>
      </rPr>
      <t xml:space="preserve"> </t>
    </r>
    <r>
      <rPr>
        <b/>
        <sz val="10"/>
        <rFont val="Calibri"/>
        <family val="2"/>
      </rPr>
      <t>Venture capital/growth funding</t>
    </r>
  </si>
  <si>
    <t>uMunthu Inclusive Growth Investment Fund</t>
  </si>
  <si>
    <r>
      <t xml:space="preserve">Goodwell has recently launched uMunthu, a </t>
    </r>
    <r>
      <rPr>
        <b/>
        <sz val="10"/>
        <rFont val="Calibri"/>
        <family val="2"/>
      </rPr>
      <t xml:space="preserve">new EUR 100m fund </t>
    </r>
    <r>
      <rPr>
        <sz val="10"/>
        <rFont val="Calibri"/>
        <family val="2"/>
      </rPr>
      <t xml:space="preserve">for Sub-Saharan Africa, that will invest in financial inclusion, agribusiness and other inclusive growth sectors with a heavy focus on the digital economy. </t>
    </r>
    <r>
      <rPr>
        <b/>
        <sz val="10"/>
        <rFont val="Calibri"/>
        <family val="2"/>
      </rPr>
      <t>uMunthu’s goal is to fuel the growth and improve the outreach of inclusive businesses involved in water and sanitation, agriculture, energy, or health. It is founded on the principal belief that broadening access to basic goods and services such as financial services, energy, housing, healthcare, education, clean drinking water or sanitation facilities for underserved groups in society contributes to long-term, sustainable development</t>
    </r>
    <r>
      <rPr>
        <sz val="10"/>
        <rFont val="Calibri"/>
        <family val="2"/>
      </rPr>
      <t>. The company will provide patient risk capital and active guidance and support enhancing the development and scale up of investees. Half of the fund investments will be in the financial inclusion sector whilst the other half will be in SME’s providing basic products and services.</t>
    </r>
  </si>
  <si>
    <t>Technology Venture Capital Fund (TVC)</t>
  </si>
  <si>
    <r>
      <t>TVC is a fund established by </t>
    </r>
    <r>
      <rPr>
        <b/>
        <sz val="11"/>
        <color rgb="FF000000"/>
        <rFont val="Calibri"/>
        <family val="2"/>
        <scheme val="minor"/>
      </rPr>
      <t>the dti</t>
    </r>
    <r>
      <rPr>
        <sz val="11"/>
        <color rgb="FF000000"/>
        <rFont val="Calibri"/>
        <family val="2"/>
        <scheme val="minor"/>
      </rPr>
      <t> and managed by IDC which provides business support and seed capital for the commercialisation of innovative products, processes and technologies. TVC aims to increase the number of economically-productive companies in SA, and thus contribute to economic growth and international competitiveness through innovation and technological advancement.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</si>
</sst>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5" x14ac:knownFonts="1">
    <font>
      <sz val="11"/>
      <color rgb="FF000000"/>
      <name val="Calibri"/>
    </font>
    <font>
      <sz val="10"/>
      <color rgb="FF000000"/>
      <name val="Calibri"/>
      <family val="2"/>
    </font>
    <font>
      <u/>
      <sz val="10"/>
      <color rgb="FF000000"/>
      <name val="Calibri"/>
      <family val="2"/>
    </font>
    <font>
      <sz val="11"/>
      <color rgb="FF000000"/>
      <name val="Calibri"/>
    </font>
    <font>
      <u/>
      <sz val="11"/>
      <color theme="10"/>
      <name val="Calibri"/>
    </font>
    <font>
      <b/>
      <sz val="10"/>
      <color rgb="FF000000"/>
      <name val="Calibri"/>
      <family val="2"/>
    </font>
    <font>
      <u/>
      <sz val="10"/>
      <color theme="10"/>
      <name val="Calibri"/>
      <family val="2"/>
    </font>
    <font>
      <sz val="10"/>
      <name val="Calibri"/>
      <family val="2"/>
    </font>
    <font>
      <b/>
      <sz val="10"/>
      <name val="Calibri"/>
      <family val="2"/>
    </font>
    <font>
      <b/>
      <sz val="12"/>
      <color rgb="FFFFFFFF"/>
      <name val="Calibri"/>
      <family val="2"/>
    </font>
    <font>
      <sz val="11"/>
      <color rgb="FF000000"/>
      <name val="Calibri"/>
      <family val="2"/>
    </font>
    <font>
      <b/>
      <sz val="10"/>
      <color rgb="FF00B050"/>
      <name val="Calibri"/>
      <family val="2"/>
    </font>
    <font>
      <sz val="10"/>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rgb="FF00B050"/>
        <bgColor rgb="FF92D050"/>
      </patternFill>
    </fill>
    <fill>
      <patternFill patternType="solid">
        <fgColor theme="2" tint="-9.9978637043366805E-2"/>
        <bgColor indexed="64"/>
      </patternFill>
    </fill>
  </fills>
  <borders count="1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06">
    <xf numFmtId="0" fontId="0" fillId="0" borderId="0" xfId="0" applyFont="1" applyAlignment="1"/>
    <xf numFmtId="0" fontId="1" fillId="0" borderId="2" xfId="0" applyFont="1" applyBorder="1" applyAlignment="1">
      <alignment vertical="center" wrapText="1"/>
    </xf>
    <xf numFmtId="0" fontId="2" fillId="0" borderId="2" xfId="0" applyFont="1" applyBorder="1" applyAlignment="1">
      <alignment vertical="center" wrapText="1"/>
    </xf>
    <xf numFmtId="0" fontId="1" fillId="0" borderId="0" xfId="0" applyFont="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2" fillId="0" borderId="3" xfId="0" applyFont="1" applyBorder="1" applyAlignment="1">
      <alignment vertical="center" wrapText="1"/>
    </xf>
    <xf numFmtId="3" fontId="1" fillId="0" borderId="2" xfId="0" quotePrefix="1" applyNumberFormat="1" applyFont="1" applyBorder="1" applyAlignment="1">
      <alignment vertical="center" wrapText="1"/>
    </xf>
    <xf numFmtId="43" fontId="1" fillId="0" borderId="2" xfId="1" applyFont="1" applyBorder="1" applyAlignment="1">
      <alignment vertical="center" wrapText="1"/>
    </xf>
    <xf numFmtId="164" fontId="1" fillId="0" borderId="2" xfId="1" applyNumberFormat="1" applyFont="1" applyBorder="1" applyAlignment="1">
      <alignment vertical="center" wrapText="1"/>
    </xf>
    <xf numFmtId="164" fontId="1" fillId="0" borderId="3" xfId="1" applyNumberFormat="1" applyFont="1" applyBorder="1" applyAlignment="1">
      <alignment vertical="center" wrapText="1"/>
    </xf>
    <xf numFmtId="0" fontId="2" fillId="0" borderId="6" xfId="0" applyFont="1" applyBorder="1" applyAlignment="1">
      <alignment vertical="center" wrapText="1"/>
    </xf>
    <xf numFmtId="0" fontId="1" fillId="0" borderId="0" xfId="0" applyFont="1" applyAlignment="1"/>
    <xf numFmtId="0" fontId="6" fillId="0" borderId="2" xfId="2" applyFont="1" applyBorder="1" applyAlignment="1">
      <alignment vertical="center" wrapText="1"/>
    </xf>
    <xf numFmtId="0" fontId="7" fillId="0" borderId="0" xfId="0" applyFont="1" applyAlignment="1">
      <alignment vertical="center" wrapText="1"/>
    </xf>
    <xf numFmtId="0" fontId="7" fillId="0" borderId="0" xfId="0" applyFont="1" applyAlignment="1">
      <alignment vertical="top" wrapText="1"/>
    </xf>
    <xf numFmtId="0" fontId="1" fillId="0" borderId="2" xfId="0" applyFont="1" applyBorder="1" applyAlignment="1"/>
    <xf numFmtId="0" fontId="1" fillId="0" borderId="3" xfId="0" applyFont="1" applyFill="1" applyBorder="1" applyAlignment="1">
      <alignment vertical="center" wrapText="1"/>
    </xf>
    <xf numFmtId="0" fontId="1" fillId="0" borderId="0" xfId="0" applyFont="1" applyFill="1" applyAlignment="1">
      <alignment vertical="center" wrapText="1"/>
    </xf>
    <xf numFmtId="0" fontId="1" fillId="0" borderId="2" xfId="0" applyFont="1" applyFill="1" applyBorder="1" applyAlignment="1">
      <alignment vertical="center" wrapText="1"/>
    </xf>
    <xf numFmtId="164" fontId="1" fillId="0" borderId="2" xfId="1" applyNumberFormat="1" applyFont="1" applyFill="1" applyBorder="1" applyAlignment="1">
      <alignment vertical="center" wrapText="1"/>
    </xf>
    <xf numFmtId="0" fontId="1" fillId="0" borderId="6" xfId="0" applyFont="1" applyFill="1" applyBorder="1" applyAlignment="1">
      <alignment vertical="center" wrapText="1"/>
    </xf>
    <xf numFmtId="0" fontId="2" fillId="0" borderId="2" xfId="0" applyFont="1" applyFill="1" applyBorder="1" applyAlignment="1">
      <alignment vertical="center" wrapText="1"/>
    </xf>
    <xf numFmtId="3" fontId="1" fillId="0" borderId="2" xfId="0" applyNumberFormat="1" applyFont="1" applyBorder="1" applyAlignment="1">
      <alignment vertical="center" wrapText="1"/>
    </xf>
    <xf numFmtId="0" fontId="6" fillId="0" borderId="6" xfId="2" applyFont="1" applyBorder="1" applyAlignment="1">
      <alignment vertical="center" wrapText="1"/>
    </xf>
    <xf numFmtId="0" fontId="1" fillId="0" borderId="6" xfId="0" applyFont="1" applyBorder="1" applyAlignment="1">
      <alignment vertical="center" wrapText="1"/>
    </xf>
    <xf numFmtId="0" fontId="1" fillId="0" borderId="4" xfId="0" applyFont="1" applyFill="1" applyBorder="1" applyAlignment="1">
      <alignment horizontal="center" vertical="center" wrapText="1"/>
    </xf>
    <xf numFmtId="0" fontId="4" fillId="0" borderId="6" xfId="2" applyBorder="1" applyAlignment="1">
      <alignment vertical="center" wrapText="1"/>
    </xf>
    <xf numFmtId="0" fontId="4" fillId="0" borderId="3" xfId="2"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quotePrefix="1" applyFont="1" applyBorder="1" applyAlignment="1">
      <alignment vertical="center" wrapText="1"/>
    </xf>
    <xf numFmtId="0" fontId="7" fillId="0" borderId="2" xfId="0" applyFont="1" applyBorder="1" applyAlignment="1">
      <alignment vertical="center" wrapText="1"/>
    </xf>
    <xf numFmtId="0" fontId="1" fillId="0" borderId="5" xfId="0" applyFont="1" applyFill="1" applyBorder="1" applyAlignment="1">
      <alignment vertical="center"/>
    </xf>
    <xf numFmtId="164" fontId="1" fillId="0" borderId="5" xfId="1" applyNumberFormat="1" applyFont="1" applyFill="1" applyBorder="1" applyAlignment="1">
      <alignment vertical="center"/>
    </xf>
    <xf numFmtId="0" fontId="2" fillId="0" borderId="5" xfId="0" applyFont="1" applyFill="1" applyBorder="1" applyAlignment="1">
      <alignment vertical="center"/>
    </xf>
    <xf numFmtId="0" fontId="2" fillId="0" borderId="8" xfId="0" applyFont="1" applyFill="1" applyBorder="1" applyAlignment="1">
      <alignment vertical="center"/>
    </xf>
    <xf numFmtId="0" fontId="1" fillId="0" borderId="9" xfId="0" applyFont="1" applyFill="1" applyBorder="1" applyAlignment="1">
      <alignment vertical="center"/>
    </xf>
    <xf numFmtId="0" fontId="1" fillId="0" borderId="7" xfId="0" applyFont="1" applyFill="1" applyBorder="1" applyAlignment="1">
      <alignment vertical="center" wrapText="1"/>
    </xf>
    <xf numFmtId="0" fontId="1" fillId="0" borderId="7" xfId="0" applyFont="1" applyFill="1" applyBorder="1" applyAlignment="1">
      <alignment horizontal="center" vertical="center"/>
    </xf>
    <xf numFmtId="0" fontId="1" fillId="0" borderId="7" xfId="0" applyFont="1" applyFill="1" applyBorder="1" applyAlignment="1">
      <alignment horizontal="center" vertical="center" wrapText="1"/>
    </xf>
    <xf numFmtId="0" fontId="2" fillId="0" borderId="4" xfId="0" applyFont="1" applyBorder="1" applyAlignment="1">
      <alignment vertical="center" wrapText="1"/>
    </xf>
    <xf numFmtId="0" fontId="1" fillId="0" borderId="1" xfId="0" applyFont="1" applyBorder="1" applyAlignment="1">
      <alignment vertical="center" wrapText="1"/>
    </xf>
    <xf numFmtId="0" fontId="2" fillId="0" borderId="11" xfId="0" applyFont="1" applyBorder="1" applyAlignment="1">
      <alignment vertical="center" wrapText="1"/>
    </xf>
    <xf numFmtId="3" fontId="1" fillId="0" borderId="3" xfId="0" quotePrefix="1" applyNumberFormat="1" applyFont="1" applyBorder="1" applyAlignment="1">
      <alignment vertical="center" wrapText="1"/>
    </xf>
    <xf numFmtId="0" fontId="1" fillId="0" borderId="5" xfId="0" applyFont="1" applyBorder="1" applyAlignment="1">
      <alignment horizontal="center" vertical="center" wrapText="1"/>
    </xf>
    <xf numFmtId="0" fontId="1" fillId="0" borderId="5" xfId="0" applyFont="1" applyBorder="1" applyAlignment="1">
      <alignment vertical="center" wrapText="1"/>
    </xf>
    <xf numFmtId="0" fontId="2" fillId="0" borderId="5" xfId="0" applyFont="1" applyBorder="1" applyAlignment="1">
      <alignment vertical="center" wrapText="1"/>
    </xf>
    <xf numFmtId="164" fontId="1" fillId="0" borderId="5" xfId="1" applyNumberFormat="1" applyFont="1" applyBorder="1" applyAlignment="1">
      <alignment vertical="center" wrapText="1"/>
    </xf>
    <xf numFmtId="0" fontId="1" fillId="0" borderId="5" xfId="0" quotePrefix="1" applyFont="1" applyBorder="1" applyAlignment="1">
      <alignment vertical="center" wrapText="1"/>
    </xf>
    <xf numFmtId="0" fontId="2" fillId="0" borderId="8" xfId="0" applyFont="1" applyBorder="1" applyAlignment="1">
      <alignment vertical="center" wrapText="1"/>
    </xf>
    <xf numFmtId="0" fontId="1" fillId="0" borderId="9" xfId="0" applyFont="1" applyBorder="1" applyAlignment="1">
      <alignment vertical="center" wrapText="1"/>
    </xf>
    <xf numFmtId="0" fontId="9" fillId="2" borderId="3" xfId="0" applyFont="1" applyFill="1" applyBorder="1" applyAlignment="1">
      <alignment horizontal="center" vertical="center" wrapText="1"/>
    </xf>
    <xf numFmtId="0" fontId="7" fillId="0" borderId="3" xfId="0" applyFont="1" applyBorder="1" applyAlignment="1">
      <alignment vertical="center" wrapText="1"/>
    </xf>
    <xf numFmtId="0" fontId="7" fillId="0" borderId="3" xfId="0" applyFont="1" applyBorder="1" applyAlignment="1">
      <alignment vertical="top" wrapText="1"/>
    </xf>
    <xf numFmtId="0" fontId="1" fillId="0" borderId="3" xfId="0" quotePrefix="1" applyFont="1" applyBorder="1" applyAlignment="1">
      <alignment vertical="center" wrapText="1"/>
    </xf>
    <xf numFmtId="0" fontId="1" fillId="0" borderId="3" xfId="0" applyFont="1" applyBorder="1" applyAlignment="1"/>
    <xf numFmtId="0" fontId="6" fillId="0" borderId="3" xfId="2" applyFont="1" applyBorder="1" applyAlignment="1">
      <alignment vertical="center" wrapText="1"/>
    </xf>
    <xf numFmtId="0" fontId="6" fillId="0" borderId="0" xfId="2" applyFont="1" applyAlignment="1"/>
    <xf numFmtId="0" fontId="6" fillId="0" borderId="6" xfId="2" applyFont="1" applyFill="1" applyBorder="1" applyAlignment="1">
      <alignment vertical="center" wrapText="1"/>
    </xf>
    <xf numFmtId="0" fontId="4" fillId="0" borderId="10" xfId="2" applyBorder="1" applyAlignment="1">
      <alignment vertical="center" wrapText="1"/>
    </xf>
    <xf numFmtId="0" fontId="6" fillId="0" borderId="10" xfId="2" applyFont="1" applyBorder="1" applyAlignment="1">
      <alignment vertical="center" wrapText="1"/>
    </xf>
    <xf numFmtId="0" fontId="2" fillId="0" borderId="10" xfId="0" applyFont="1" applyBorder="1" applyAlignment="1">
      <alignment vertical="center" wrapText="1"/>
    </xf>
    <xf numFmtId="0" fontId="0" fillId="0" borderId="1" xfId="0" applyFont="1" applyBorder="1" applyAlignment="1"/>
    <xf numFmtId="0" fontId="1" fillId="0" borderId="3" xfId="0" applyFont="1" applyFill="1" applyBorder="1" applyAlignment="1">
      <alignment horizontal="center" vertical="center" wrapText="1"/>
    </xf>
    <xf numFmtId="0" fontId="0" fillId="0" borderId="3" xfId="0" applyFont="1" applyBorder="1" applyAlignment="1"/>
    <xf numFmtId="0" fontId="1" fillId="0" borderId="3" xfId="0" quotePrefix="1" applyFont="1" applyFill="1" applyBorder="1" applyAlignment="1">
      <alignment vertical="center" wrapText="1"/>
    </xf>
    <xf numFmtId="0" fontId="1" fillId="0" borderId="3" xfId="0" applyFont="1" applyBorder="1" applyAlignment="1">
      <alignment wrapText="1"/>
    </xf>
    <xf numFmtId="0" fontId="1" fillId="0" borderId="3" xfId="0" applyFont="1" applyBorder="1" applyAlignment="1">
      <alignment vertical="center"/>
    </xf>
    <xf numFmtId="0" fontId="1" fillId="0" borderId="3" xfId="0" quotePrefix="1" applyFont="1" applyBorder="1" applyAlignment="1">
      <alignment vertical="center"/>
    </xf>
    <xf numFmtId="0" fontId="6" fillId="0" borderId="3" xfId="2" applyFont="1" applyBorder="1" applyAlignment="1">
      <alignment horizontal="center" vertical="center"/>
    </xf>
    <xf numFmtId="0" fontId="6" fillId="0" borderId="11" xfId="2" applyFont="1" applyBorder="1" applyAlignment="1">
      <alignment vertical="center" wrapText="1"/>
    </xf>
    <xf numFmtId="164" fontId="1" fillId="0" borderId="3" xfId="1" applyNumberFormat="1" applyFont="1" applyFill="1" applyBorder="1" applyAlignment="1">
      <alignment horizontal="left" vertical="center" wrapText="1"/>
    </xf>
    <xf numFmtId="0" fontId="1" fillId="3" borderId="6" xfId="0" applyFont="1" applyFill="1" applyBorder="1" applyAlignment="1">
      <alignment horizontal="center" vertical="center" wrapText="1"/>
    </xf>
    <xf numFmtId="0" fontId="0" fillId="0" borderId="3" xfId="0" applyFont="1" applyFill="1" applyBorder="1" applyAlignment="1"/>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3" xfId="0" quotePrefix="1" applyFont="1" applyFill="1" applyBorder="1" applyAlignment="1">
      <alignment vertical="center"/>
    </xf>
    <xf numFmtId="0" fontId="6" fillId="0" borderId="3" xfId="2" applyFont="1" applyFill="1" applyBorder="1" applyAlignment="1">
      <alignment vertical="center"/>
    </xf>
    <xf numFmtId="0" fontId="1" fillId="0" borderId="0" xfId="0" applyFont="1" applyAlignment="1">
      <alignment horizontal="center" vertical="center" wrapText="1"/>
    </xf>
    <xf numFmtId="0" fontId="10" fillId="0" borderId="3" xfId="0" quotePrefix="1" applyFont="1" applyBorder="1" applyAlignment="1">
      <alignment horizontal="left" vertical="center"/>
    </xf>
    <xf numFmtId="0" fontId="1" fillId="0" borderId="3" xfId="0" applyFont="1" applyBorder="1" applyAlignment="1">
      <alignment horizontal="center" vertical="center"/>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3" xfId="2" applyFont="1" applyBorder="1" applyAlignment="1">
      <alignment vertical="center"/>
    </xf>
    <xf numFmtId="0" fontId="1" fillId="0" borderId="12" xfId="0" applyFont="1" applyBorder="1" applyAlignment="1">
      <alignment horizontal="center" vertical="center"/>
    </xf>
    <xf numFmtId="0" fontId="1" fillId="0" borderId="3" xfId="0" applyFont="1" applyBorder="1" applyAlignment="1">
      <alignment horizontal="left" vertical="center"/>
    </xf>
    <xf numFmtId="0" fontId="1" fillId="0" borderId="10" xfId="0" quotePrefix="1" applyFont="1" applyFill="1" applyBorder="1" applyAlignment="1">
      <alignment vertical="center" wrapText="1"/>
    </xf>
    <xf numFmtId="0" fontId="4" fillId="0" borderId="3" xfId="2" applyBorder="1" applyAlignment="1">
      <alignment horizontal="center" vertical="center"/>
    </xf>
    <xf numFmtId="0" fontId="7" fillId="0" borderId="3" xfId="0" applyFont="1" applyBorder="1" applyAlignment="1">
      <alignment wrapText="1"/>
    </xf>
    <xf numFmtId="0" fontId="7" fillId="0" borderId="3" xfId="0" applyFont="1" applyFill="1" applyBorder="1" applyAlignment="1">
      <alignment vertical="center" wrapText="1"/>
    </xf>
    <xf numFmtId="0" fontId="7" fillId="0" borderId="5" xfId="0" applyFont="1" applyBorder="1" applyAlignment="1">
      <alignment vertical="center" wrapText="1"/>
    </xf>
    <xf numFmtId="0" fontId="0" fillId="0" borderId="3"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vertical="center"/>
    </xf>
    <xf numFmtId="0" fontId="1" fillId="0" borderId="12" xfId="0" applyFont="1" applyFill="1" applyBorder="1" applyAlignment="1">
      <alignment horizontal="center" vertical="center" wrapText="1"/>
    </xf>
    <xf numFmtId="0" fontId="1" fillId="0" borderId="12" xfId="0" applyFont="1" applyFill="1" applyBorder="1" applyAlignment="1">
      <alignment vertical="center" wrapText="1"/>
    </xf>
    <xf numFmtId="0" fontId="1" fillId="0" borderId="12" xfId="0" applyFont="1" applyFill="1" applyBorder="1" applyAlignment="1">
      <alignment horizontal="left" vertical="center"/>
    </xf>
    <xf numFmtId="0" fontId="1" fillId="0" borderId="12" xfId="0" applyFont="1" applyFill="1" applyBorder="1" applyAlignment="1"/>
    <xf numFmtId="0" fontId="6" fillId="0" borderId="12" xfId="2" applyFont="1" applyFill="1" applyBorder="1" applyAlignment="1">
      <alignment vertical="center" wrapText="1"/>
    </xf>
    <xf numFmtId="0" fontId="0" fillId="0" borderId="0" xfId="0" applyFont="1" applyFill="1" applyAlignment="1"/>
    <xf numFmtId="0" fontId="1" fillId="0" borderId="3" xfId="0" applyFont="1" applyFill="1" applyBorder="1" applyAlignment="1">
      <alignment wrapText="1"/>
    </xf>
    <xf numFmtId="0" fontId="12" fillId="0" borderId="3" xfId="0" applyFont="1" applyBorder="1" applyAlignment="1">
      <alignment vertical="center" wrapText="1"/>
    </xf>
    <xf numFmtId="0" fontId="6" fillId="0" borderId="3" xfId="2" applyFont="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C1E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Lehohla@thedti.gov.za" TargetMode="External"/><Relationship Id="rId1" Type="http://schemas.openxmlformats.org/officeDocument/2006/relationships/hyperlink" Target="https://www.cashflowcapital.co.z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s://www.cashflowcapital.co.za/" TargetMode="External"/><Relationship Id="rId1" Type="http://schemas.openxmlformats.org/officeDocument/2006/relationships/hyperlink" Target="https://firstfund.co.za/"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info@act.is" TargetMode="External"/><Relationship Id="rId2" Type="http://schemas.openxmlformats.org/officeDocument/2006/relationships/hyperlink" Target="http://tbi.co.za/" TargetMode="External"/><Relationship Id="rId1" Type="http://schemas.openxmlformats.org/officeDocument/2006/relationships/hyperlink" Target="mailto:info@tbi.co.za"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Z39"/>
  <sheetViews>
    <sheetView zoomScale="82" zoomScaleNormal="82" workbookViewId="0">
      <pane xSplit="2" ySplit="1" topLeftCell="C2" activePane="bottomRight" state="frozen"/>
      <selection pane="topRight" activeCell="C1" sqref="C1"/>
      <selection pane="bottomLeft" activeCell="A2" sqref="A2"/>
      <selection pane="bottomRight" activeCell="B9" sqref="B9"/>
    </sheetView>
  </sheetViews>
  <sheetFormatPr defaultColWidth="14.42578125" defaultRowHeight="15" x14ac:dyDescent="0.25"/>
  <cols>
    <col min="1" max="1" width="29.140625" customWidth="1"/>
    <col min="2" max="3" width="25.42578125" customWidth="1"/>
    <col min="4" max="4" width="79.85546875" customWidth="1"/>
    <col min="5" max="5" width="27.28515625" customWidth="1"/>
    <col min="6" max="6" width="29.5703125" customWidth="1"/>
    <col min="7" max="7" width="24.7109375" customWidth="1"/>
    <col min="8" max="8" width="25.42578125" customWidth="1"/>
    <col min="9" max="9" width="24.85546875" customWidth="1"/>
    <col min="10" max="10" width="34.140625" customWidth="1"/>
    <col min="11" max="11" width="41.5703125" customWidth="1"/>
    <col min="12" max="12" width="24.5703125" customWidth="1"/>
    <col min="13" max="26" width="8.85546875" customWidth="1"/>
  </cols>
  <sheetData>
    <row r="1" spans="1:26" s="12" customFormat="1" ht="36.75" customHeight="1" x14ac:dyDescent="0.2">
      <c r="A1" s="54" t="s">
        <v>0</v>
      </c>
      <c r="B1" s="54" t="s">
        <v>1</v>
      </c>
      <c r="C1" s="54" t="s">
        <v>247</v>
      </c>
      <c r="D1" s="54" t="s">
        <v>249</v>
      </c>
      <c r="E1" s="54" t="s">
        <v>305</v>
      </c>
      <c r="F1" s="54" t="s">
        <v>271</v>
      </c>
      <c r="G1" s="54" t="s">
        <v>390</v>
      </c>
      <c r="H1" s="54" t="s">
        <v>2</v>
      </c>
      <c r="I1" s="54" t="s">
        <v>3</v>
      </c>
      <c r="J1" s="54" t="s">
        <v>4</v>
      </c>
      <c r="K1" s="54" t="s">
        <v>5</v>
      </c>
      <c r="L1" s="54" t="s">
        <v>191</v>
      </c>
      <c r="M1" s="3"/>
      <c r="N1" s="3"/>
      <c r="O1" s="3"/>
      <c r="P1" s="3"/>
      <c r="Q1" s="3"/>
      <c r="R1" s="3"/>
      <c r="S1" s="3"/>
      <c r="T1" s="3"/>
      <c r="U1" s="3"/>
      <c r="V1" s="3"/>
      <c r="W1" s="3"/>
      <c r="X1" s="3"/>
      <c r="Y1" s="3"/>
      <c r="Z1" s="3"/>
    </row>
    <row r="2" spans="1:26" s="12" customFormat="1" ht="75" customHeight="1" x14ac:dyDescent="0.2">
      <c r="A2" s="47" t="s">
        <v>62</v>
      </c>
      <c r="B2" s="47" t="s">
        <v>63</v>
      </c>
      <c r="C2" s="47" t="s">
        <v>215</v>
      </c>
      <c r="D2" s="48" t="s">
        <v>216</v>
      </c>
      <c r="E2" s="48" t="s">
        <v>8</v>
      </c>
      <c r="F2" s="48" t="s">
        <v>18</v>
      </c>
      <c r="G2" s="48" t="s">
        <v>295</v>
      </c>
      <c r="H2" s="48"/>
      <c r="I2" s="48"/>
      <c r="J2" s="48"/>
      <c r="K2" s="52" t="str">
        <f>HYPERLINK("http://www.energy.gov.za/files/eee_frame.html","www.energy.gov.za/files/eee_frame.html")</f>
        <v>www.energy.gov.za/files/eee_frame.html</v>
      </c>
      <c r="L2" s="5"/>
      <c r="M2" s="3"/>
      <c r="N2" s="3"/>
      <c r="O2" s="3"/>
      <c r="P2" s="3"/>
      <c r="Q2" s="3"/>
      <c r="R2" s="3"/>
      <c r="S2" s="3"/>
      <c r="T2" s="3"/>
      <c r="U2" s="3"/>
      <c r="V2" s="3"/>
      <c r="W2" s="3"/>
      <c r="X2" s="3"/>
      <c r="Y2" s="3"/>
      <c r="Z2" s="3"/>
    </row>
    <row r="3" spans="1:26" s="12" customFormat="1" ht="85.5" customHeight="1" x14ac:dyDescent="0.2">
      <c r="A3" s="30" t="s">
        <v>62</v>
      </c>
      <c r="B3" s="30" t="s">
        <v>64</v>
      </c>
      <c r="C3" s="30" t="s">
        <v>217</v>
      </c>
      <c r="D3" s="1" t="s">
        <v>294</v>
      </c>
      <c r="E3" s="1" t="s">
        <v>293</v>
      </c>
      <c r="F3" s="1" t="s">
        <v>65</v>
      </c>
      <c r="G3" s="1" t="s">
        <v>295</v>
      </c>
      <c r="H3" s="1" t="s">
        <v>66</v>
      </c>
      <c r="I3" s="1" t="s">
        <v>67</v>
      </c>
      <c r="J3" s="1" t="s">
        <v>68</v>
      </c>
      <c r="K3" s="11" t="str">
        <f>HYPERLINK("http://www.dhet.gov.za/","www.dhet.gov.za")</f>
        <v>www.dhet.gov.za</v>
      </c>
      <c r="L3" s="5"/>
      <c r="M3" s="3"/>
      <c r="N3" s="3"/>
      <c r="O3" s="3"/>
      <c r="P3" s="3"/>
      <c r="Q3" s="3"/>
      <c r="R3" s="3"/>
      <c r="S3" s="3"/>
      <c r="T3" s="3"/>
      <c r="U3" s="3"/>
      <c r="V3" s="3"/>
      <c r="W3" s="3"/>
      <c r="X3" s="3"/>
      <c r="Y3" s="3"/>
      <c r="Z3" s="3"/>
    </row>
    <row r="4" spans="1:26" s="12" customFormat="1" ht="63" customHeight="1" x14ac:dyDescent="0.2">
      <c r="A4" s="30" t="s">
        <v>62</v>
      </c>
      <c r="B4" s="30" t="s">
        <v>69</v>
      </c>
      <c r="C4" s="30" t="s">
        <v>234</v>
      </c>
      <c r="D4" s="1" t="s">
        <v>391</v>
      </c>
      <c r="E4" s="1" t="s">
        <v>261</v>
      </c>
      <c r="F4" s="1" t="s">
        <v>70</v>
      </c>
      <c r="G4" s="1" t="s">
        <v>295</v>
      </c>
      <c r="H4" s="1" t="s">
        <v>72</v>
      </c>
      <c r="I4" s="1" t="s">
        <v>73</v>
      </c>
      <c r="J4" s="2" t="str">
        <f>HYPERLINK("mailto:Dimakatso.Mokone@dst.gov.za","Dimakatso.Mokone@dst.gov.za")</f>
        <v>Dimakatso.Mokone@dst.gov.za</v>
      </c>
      <c r="K4" s="11" t="str">
        <f>HYPERLINK("http://www.dst.gov.za/r-d","www.dst.gov.za/r-d")</f>
        <v>www.dst.gov.za/r-d</v>
      </c>
      <c r="L4" s="5"/>
      <c r="M4" s="3"/>
      <c r="N4" s="3"/>
      <c r="O4" s="3"/>
      <c r="P4" s="3"/>
      <c r="Q4" s="3"/>
      <c r="R4" s="3"/>
      <c r="S4" s="3"/>
      <c r="T4" s="3"/>
      <c r="U4" s="3"/>
      <c r="V4" s="3"/>
      <c r="W4" s="3"/>
      <c r="X4" s="3"/>
      <c r="Y4" s="3"/>
      <c r="Z4" s="3"/>
    </row>
    <row r="5" spans="1:26" s="12" customFormat="1" ht="77.25" customHeight="1" x14ac:dyDescent="0.2">
      <c r="A5" s="30" t="s">
        <v>62</v>
      </c>
      <c r="B5" s="30" t="s">
        <v>74</v>
      </c>
      <c r="C5" s="30" t="s">
        <v>219</v>
      </c>
      <c r="D5" s="1" t="s">
        <v>292</v>
      </c>
      <c r="E5" s="1" t="s">
        <v>326</v>
      </c>
      <c r="F5" s="1" t="s">
        <v>18</v>
      </c>
      <c r="G5" s="9" t="s">
        <v>338</v>
      </c>
      <c r="H5" s="1"/>
      <c r="I5" s="7" t="s">
        <v>291</v>
      </c>
      <c r="J5" s="1"/>
      <c r="K5" s="24" t="str">
        <f>HYPERLINK("http://www.dsbd.gov.za/?page_id=1218","http://www.dsbd.gov.za/")</f>
        <v>http://www.dsbd.gov.za/</v>
      </c>
      <c r="L5" s="5"/>
      <c r="M5" s="3"/>
      <c r="N5" s="3"/>
      <c r="O5" s="3"/>
      <c r="P5" s="3"/>
      <c r="Q5" s="3"/>
      <c r="R5" s="3"/>
      <c r="S5" s="3"/>
      <c r="T5" s="3"/>
      <c r="U5" s="3"/>
      <c r="V5" s="3"/>
      <c r="W5" s="3"/>
      <c r="X5" s="3"/>
      <c r="Y5" s="3"/>
      <c r="Z5" s="3"/>
    </row>
    <row r="6" spans="1:26" s="12" customFormat="1" ht="84" customHeight="1" x14ac:dyDescent="0.2">
      <c r="A6" s="30" t="s">
        <v>62</v>
      </c>
      <c r="B6" s="30" t="s">
        <v>74</v>
      </c>
      <c r="C6" s="30" t="s">
        <v>233</v>
      </c>
      <c r="D6" s="1" t="s">
        <v>392</v>
      </c>
      <c r="E6" s="1" t="s">
        <v>290</v>
      </c>
      <c r="F6" s="1" t="s">
        <v>18</v>
      </c>
      <c r="G6" s="9" t="s">
        <v>339</v>
      </c>
      <c r="H6" s="1"/>
      <c r="I6" s="1"/>
      <c r="J6" s="1"/>
      <c r="K6" s="24" t="str">
        <f>HYPERLINK("http://www.dsbd.gov.za/?page_id=1222","http://www.dsbd.gov.za/")</f>
        <v>http://www.dsbd.gov.za/</v>
      </c>
      <c r="L6" s="5"/>
      <c r="M6" s="3"/>
      <c r="N6" s="3"/>
      <c r="O6" s="3"/>
      <c r="P6" s="3"/>
      <c r="Q6" s="3"/>
      <c r="R6" s="3"/>
      <c r="S6" s="3"/>
      <c r="T6" s="3"/>
      <c r="U6" s="3"/>
      <c r="V6" s="3"/>
      <c r="W6" s="3"/>
      <c r="X6" s="3"/>
      <c r="Y6" s="3"/>
      <c r="Z6" s="3"/>
    </row>
    <row r="7" spans="1:26" s="12" customFormat="1" ht="60.75" customHeight="1" x14ac:dyDescent="0.2">
      <c r="A7" s="30" t="s">
        <v>62</v>
      </c>
      <c r="B7" s="30" t="s">
        <v>74</v>
      </c>
      <c r="C7" s="30" t="s">
        <v>394</v>
      </c>
      <c r="D7" s="1" t="s">
        <v>340</v>
      </c>
      <c r="E7" s="1" t="s">
        <v>290</v>
      </c>
      <c r="F7" s="1" t="s">
        <v>18</v>
      </c>
      <c r="G7" s="9" t="s">
        <v>343</v>
      </c>
      <c r="H7" s="9" t="s">
        <v>342</v>
      </c>
      <c r="I7" s="33" t="s">
        <v>341</v>
      </c>
      <c r="J7" s="1"/>
      <c r="K7" s="24" t="str">
        <f>HYPERLINK("https://www.idc.co.za/green-tourism-incentive-programme/","www.idc.co.za")</f>
        <v>www.idc.co.za</v>
      </c>
      <c r="L7" s="5" t="s">
        <v>196</v>
      </c>
      <c r="M7" s="3"/>
      <c r="N7" s="3"/>
      <c r="O7" s="3"/>
      <c r="P7" s="3"/>
      <c r="Q7" s="3"/>
      <c r="R7" s="3"/>
      <c r="S7" s="3"/>
      <c r="T7" s="3"/>
      <c r="U7" s="3"/>
      <c r="V7" s="3"/>
      <c r="W7" s="3"/>
      <c r="X7" s="3"/>
      <c r="Y7" s="3"/>
      <c r="Z7" s="3"/>
    </row>
    <row r="8" spans="1:26" s="12" customFormat="1" ht="110.25" customHeight="1" x14ac:dyDescent="0.2">
      <c r="A8" s="30" t="s">
        <v>62</v>
      </c>
      <c r="B8" s="30" t="s">
        <v>178</v>
      </c>
      <c r="C8" s="30" t="s">
        <v>244</v>
      </c>
      <c r="D8" s="1" t="s">
        <v>393</v>
      </c>
      <c r="E8" s="1" t="s">
        <v>214</v>
      </c>
      <c r="F8" s="1" t="s">
        <v>18</v>
      </c>
      <c r="G8" s="1" t="s">
        <v>343</v>
      </c>
      <c r="H8" s="1"/>
      <c r="I8" s="1"/>
      <c r="J8" s="13" t="str">
        <f>HYPERLINK("gtip@idc.co.za","gtip@idc.co.za")</f>
        <v>gtip@idc.co.za</v>
      </c>
      <c r="K8" s="24" t="str">
        <f>HYPERLINK("https://www.tourism.gov.za/CurrentProjects/Green_Tourism_Incentive_Programme/Pages/Green_Tourism_Incentive_Programme.aspx", "https://www.tourism.gov.za/")</f>
        <v>https://www.tourism.gov.za/</v>
      </c>
      <c r="L8" s="5"/>
      <c r="M8" s="3"/>
      <c r="N8" s="3"/>
      <c r="O8" s="3"/>
      <c r="P8" s="3"/>
      <c r="Q8" s="3"/>
      <c r="R8" s="3"/>
      <c r="S8" s="3"/>
      <c r="T8" s="3"/>
      <c r="U8" s="3"/>
      <c r="V8" s="3"/>
      <c r="W8" s="3"/>
      <c r="X8" s="3"/>
      <c r="Y8" s="3"/>
      <c r="Z8" s="3"/>
    </row>
    <row r="9" spans="1:26" s="12" customFormat="1" ht="102.75" customHeight="1" x14ac:dyDescent="0.2">
      <c r="A9" s="30" t="s">
        <v>62</v>
      </c>
      <c r="B9" s="30" t="s">
        <v>75</v>
      </c>
      <c r="C9" s="30" t="s">
        <v>243</v>
      </c>
      <c r="D9" s="1" t="s">
        <v>329</v>
      </c>
      <c r="E9" s="1" t="s">
        <v>335</v>
      </c>
      <c r="F9" s="1" t="s">
        <v>188</v>
      </c>
      <c r="G9" s="9" t="s">
        <v>330</v>
      </c>
      <c r="H9" s="1" t="s">
        <v>331</v>
      </c>
      <c r="I9" s="1" t="s">
        <v>201</v>
      </c>
      <c r="J9" s="2" t="str">
        <f>HYPERLINK("mailto:TSithembile@thedti.gov.za","TSithembile@thedti.gov.za")</f>
        <v>TSithembile@thedti.gov.za</v>
      </c>
      <c r="K9" s="24" t="str">
        <f>HYPERLINK("https://www.thedti.gov.za/financial_assistance/MCEP.jsp","www.thedti.gov.za")</f>
        <v>www.thedti.gov.za</v>
      </c>
      <c r="L9" s="5"/>
      <c r="M9" s="3"/>
      <c r="N9" s="3"/>
      <c r="O9" s="3"/>
      <c r="P9" s="3"/>
      <c r="Q9" s="3"/>
      <c r="R9" s="3"/>
      <c r="S9" s="3"/>
      <c r="T9" s="3"/>
      <c r="U9" s="3"/>
      <c r="V9" s="3"/>
      <c r="W9" s="3"/>
      <c r="X9" s="3"/>
      <c r="Y9" s="3"/>
      <c r="Z9" s="3"/>
    </row>
    <row r="10" spans="1:26" s="12" customFormat="1" ht="99.75" customHeight="1" x14ac:dyDescent="0.2">
      <c r="A10" s="30" t="s">
        <v>62</v>
      </c>
      <c r="B10" s="30" t="s">
        <v>75</v>
      </c>
      <c r="C10" s="30" t="s">
        <v>232</v>
      </c>
      <c r="D10" s="1" t="s">
        <v>274</v>
      </c>
      <c r="E10" s="1" t="s">
        <v>195</v>
      </c>
      <c r="F10" s="1" t="s">
        <v>70</v>
      </c>
      <c r="G10" s="9" t="s">
        <v>353</v>
      </c>
      <c r="H10" s="1" t="s">
        <v>76</v>
      </c>
      <c r="I10" s="1" t="s">
        <v>77</v>
      </c>
      <c r="J10" s="1" t="s">
        <v>78</v>
      </c>
      <c r="K10" s="24" t="str">
        <f>HYPERLINK("http://www.thedti.gov.za/financial_assistance/financial_incentive.jsp?id=45&amp;subthemeid=26","www.thedti.gov.za/financial_assistance/")</f>
        <v>www.thedti.gov.za/financial_assistance/</v>
      </c>
      <c r="L10" s="5"/>
      <c r="M10" s="3"/>
      <c r="N10" s="3"/>
      <c r="O10" s="3"/>
      <c r="P10" s="3"/>
      <c r="Q10" s="3"/>
      <c r="R10" s="3"/>
      <c r="S10" s="3"/>
      <c r="T10" s="3"/>
      <c r="U10" s="3"/>
      <c r="V10" s="3"/>
      <c r="W10" s="3"/>
      <c r="X10" s="3"/>
      <c r="Y10" s="3"/>
      <c r="Z10" s="3"/>
    </row>
    <row r="11" spans="1:26" s="12" customFormat="1" ht="165" customHeight="1" x14ac:dyDescent="0.2">
      <c r="A11" s="30" t="s">
        <v>62</v>
      </c>
      <c r="B11" s="30" t="s">
        <v>75</v>
      </c>
      <c r="C11" s="30" t="s">
        <v>231</v>
      </c>
      <c r="D11" s="1" t="s">
        <v>273</v>
      </c>
      <c r="E11" s="1" t="s">
        <v>261</v>
      </c>
      <c r="F11" s="1" t="s">
        <v>18</v>
      </c>
      <c r="G11" s="9" t="s">
        <v>295</v>
      </c>
      <c r="H11" s="1" t="s">
        <v>79</v>
      </c>
      <c r="I11" s="1" t="s">
        <v>80</v>
      </c>
      <c r="J11" s="2" t="str">
        <f>HYPERLINK("mailto:Maria@nrf.ac.za","Maria@nrf.ac.za")</f>
        <v>Maria@nrf.ac.za</v>
      </c>
      <c r="K11" s="11" t="str">
        <f t="shared" ref="K11:K17" si="0">HYPERLINK("http://www.thedti.gov.za/","www.thedti.gov.za")</f>
        <v>www.thedti.gov.za</v>
      </c>
      <c r="L11" s="5"/>
      <c r="M11" s="3"/>
      <c r="N11" s="3"/>
      <c r="O11" s="3"/>
      <c r="P11" s="3"/>
      <c r="Q11" s="3"/>
      <c r="R11" s="3"/>
      <c r="S11" s="3"/>
      <c r="T11" s="3"/>
      <c r="U11" s="3"/>
      <c r="V11" s="3"/>
      <c r="W11" s="3"/>
      <c r="X11" s="3"/>
      <c r="Y11" s="3"/>
      <c r="Z11" s="3"/>
    </row>
    <row r="12" spans="1:26" s="12" customFormat="1" ht="82.5" customHeight="1" x14ac:dyDescent="0.2">
      <c r="A12" s="30" t="s">
        <v>62</v>
      </c>
      <c r="B12" s="30" t="s">
        <v>75</v>
      </c>
      <c r="C12" s="30" t="s">
        <v>230</v>
      </c>
      <c r="D12" s="1" t="s">
        <v>248</v>
      </c>
      <c r="E12" s="1" t="s">
        <v>335</v>
      </c>
      <c r="F12" s="1" t="s">
        <v>18</v>
      </c>
      <c r="G12" s="9" t="s">
        <v>295</v>
      </c>
      <c r="H12" s="1"/>
      <c r="I12" s="1"/>
      <c r="J12" s="1"/>
      <c r="K12" s="11" t="str">
        <f t="shared" si="0"/>
        <v>www.thedti.gov.za</v>
      </c>
      <c r="L12" s="5"/>
      <c r="M12" s="3"/>
      <c r="N12" s="3"/>
      <c r="O12" s="3"/>
      <c r="P12" s="3"/>
      <c r="Q12" s="3"/>
      <c r="R12" s="3"/>
      <c r="S12" s="3"/>
      <c r="T12" s="3"/>
      <c r="U12" s="3"/>
      <c r="V12" s="3"/>
      <c r="W12" s="3"/>
      <c r="X12" s="3"/>
      <c r="Y12" s="3"/>
      <c r="Z12" s="3"/>
    </row>
    <row r="13" spans="1:26" s="12" customFormat="1" ht="45.75" customHeight="1" x14ac:dyDescent="0.2">
      <c r="A13" s="30" t="s">
        <v>62</v>
      </c>
      <c r="B13" s="30" t="s">
        <v>75</v>
      </c>
      <c r="C13" s="30" t="s">
        <v>229</v>
      </c>
      <c r="D13" s="1" t="s">
        <v>81</v>
      </c>
      <c r="E13" s="1" t="s">
        <v>335</v>
      </c>
      <c r="F13" s="1" t="s">
        <v>18</v>
      </c>
      <c r="G13" s="1" t="s">
        <v>295</v>
      </c>
      <c r="H13" s="1" t="s">
        <v>288</v>
      </c>
      <c r="I13" s="33" t="s">
        <v>354</v>
      </c>
      <c r="J13" s="60" t="s">
        <v>289</v>
      </c>
      <c r="K13" s="11" t="str">
        <f t="shared" si="0"/>
        <v>www.thedti.gov.za</v>
      </c>
      <c r="L13" s="5"/>
      <c r="M13" s="3"/>
      <c r="N13" s="3"/>
      <c r="O13" s="3"/>
      <c r="P13" s="3"/>
      <c r="Q13" s="3"/>
      <c r="R13" s="3"/>
      <c r="S13" s="3"/>
      <c r="T13" s="3"/>
      <c r="U13" s="3"/>
      <c r="V13" s="3"/>
      <c r="W13" s="3"/>
      <c r="X13" s="3"/>
      <c r="Y13" s="3"/>
      <c r="Z13" s="3"/>
    </row>
    <row r="14" spans="1:26" s="12" customFormat="1" ht="72.75" customHeight="1" x14ac:dyDescent="0.2">
      <c r="A14" s="30" t="s">
        <v>62</v>
      </c>
      <c r="B14" s="30" t="s">
        <v>75</v>
      </c>
      <c r="C14" s="30" t="s">
        <v>228</v>
      </c>
      <c r="D14" s="1" t="s">
        <v>227</v>
      </c>
      <c r="E14" s="1" t="s">
        <v>335</v>
      </c>
      <c r="F14" s="1" t="s">
        <v>18</v>
      </c>
      <c r="G14" s="1" t="s">
        <v>295</v>
      </c>
      <c r="H14" s="1"/>
      <c r="I14" s="1"/>
      <c r="J14" s="1"/>
      <c r="K14" s="11" t="str">
        <f t="shared" si="0"/>
        <v>www.thedti.gov.za</v>
      </c>
      <c r="L14" s="5"/>
      <c r="M14" s="3"/>
      <c r="N14" s="3"/>
      <c r="O14" s="3"/>
      <c r="P14" s="3"/>
      <c r="Q14" s="3"/>
      <c r="R14" s="3"/>
      <c r="S14" s="3"/>
      <c r="T14" s="3"/>
      <c r="U14" s="3"/>
      <c r="V14" s="3"/>
      <c r="W14" s="3"/>
      <c r="X14" s="3"/>
      <c r="Y14" s="3"/>
      <c r="Z14" s="3"/>
    </row>
    <row r="15" spans="1:26" s="12" customFormat="1" ht="82.5" customHeight="1" x14ac:dyDescent="0.2">
      <c r="A15" s="30" t="s">
        <v>62</v>
      </c>
      <c r="B15" s="30" t="s">
        <v>75</v>
      </c>
      <c r="C15" s="30" t="s">
        <v>226</v>
      </c>
      <c r="D15" s="1" t="s">
        <v>225</v>
      </c>
      <c r="E15" s="1" t="s">
        <v>335</v>
      </c>
      <c r="F15" s="1" t="s">
        <v>18</v>
      </c>
      <c r="G15" s="1" t="s">
        <v>295</v>
      </c>
      <c r="H15" s="1"/>
      <c r="I15" s="1"/>
      <c r="J15" s="1"/>
      <c r="K15" s="11" t="str">
        <f t="shared" si="0"/>
        <v>www.thedti.gov.za</v>
      </c>
      <c r="L15" s="5"/>
      <c r="M15" s="3"/>
      <c r="N15" s="3"/>
      <c r="O15" s="3"/>
      <c r="P15" s="3"/>
      <c r="Q15" s="3"/>
      <c r="R15" s="3"/>
      <c r="S15" s="3"/>
      <c r="T15" s="3"/>
      <c r="U15" s="3"/>
      <c r="V15" s="3"/>
      <c r="W15" s="3"/>
      <c r="X15" s="3"/>
      <c r="Y15" s="3"/>
      <c r="Z15" s="3"/>
    </row>
    <row r="16" spans="1:26" s="12" customFormat="1" ht="25.5" x14ac:dyDescent="0.2">
      <c r="A16" s="30" t="s">
        <v>62</v>
      </c>
      <c r="B16" s="30" t="s">
        <v>75</v>
      </c>
      <c r="C16" s="30" t="s">
        <v>224</v>
      </c>
      <c r="D16" s="1" t="s">
        <v>242</v>
      </c>
      <c r="E16" s="1" t="s">
        <v>335</v>
      </c>
      <c r="F16" s="1" t="s">
        <v>18</v>
      </c>
      <c r="G16" s="1" t="s">
        <v>295</v>
      </c>
      <c r="H16" s="1"/>
      <c r="I16" s="1"/>
      <c r="J16" s="1"/>
      <c r="K16" s="11" t="str">
        <f t="shared" si="0"/>
        <v>www.thedti.gov.za</v>
      </c>
      <c r="L16" s="5"/>
      <c r="M16" s="3"/>
      <c r="N16" s="3"/>
      <c r="O16" s="3"/>
      <c r="P16" s="3"/>
      <c r="Q16" s="3"/>
      <c r="R16" s="3"/>
      <c r="S16" s="3"/>
      <c r="T16" s="3"/>
      <c r="U16" s="3"/>
      <c r="V16" s="3"/>
      <c r="W16" s="3"/>
      <c r="X16" s="3"/>
      <c r="Y16" s="3"/>
      <c r="Z16" s="3"/>
    </row>
    <row r="17" spans="1:26" s="12" customFormat="1" ht="89.25" customHeight="1" x14ac:dyDescent="0.2">
      <c r="A17" s="30" t="s">
        <v>62</v>
      </c>
      <c r="B17" s="30" t="s">
        <v>75</v>
      </c>
      <c r="C17" s="30" t="s">
        <v>223</v>
      </c>
      <c r="D17" s="1" t="s">
        <v>397</v>
      </c>
      <c r="E17" s="1" t="s">
        <v>335</v>
      </c>
      <c r="F17" s="1" t="s">
        <v>277</v>
      </c>
      <c r="G17" s="1" t="s">
        <v>295</v>
      </c>
      <c r="H17" s="1"/>
      <c r="I17" s="7" t="s">
        <v>276</v>
      </c>
      <c r="J17" s="1"/>
      <c r="K17" s="11" t="str">
        <f t="shared" si="0"/>
        <v>www.thedti.gov.za</v>
      </c>
      <c r="L17" s="55"/>
      <c r="M17" s="14"/>
      <c r="N17" s="14"/>
      <c r="O17" s="14"/>
      <c r="P17" s="14"/>
      <c r="Q17" s="14"/>
      <c r="R17" s="14"/>
      <c r="S17" s="14"/>
      <c r="T17" s="14"/>
      <c r="U17" s="14"/>
      <c r="V17" s="14"/>
      <c r="W17" s="14"/>
      <c r="X17" s="14"/>
      <c r="Y17" s="14"/>
      <c r="Z17" s="14"/>
    </row>
    <row r="18" spans="1:26" s="12" customFormat="1" ht="58.5" customHeight="1" x14ac:dyDescent="0.2">
      <c r="A18" s="30" t="s">
        <v>62</v>
      </c>
      <c r="B18" s="30" t="s">
        <v>75</v>
      </c>
      <c r="C18" s="30" t="s">
        <v>222</v>
      </c>
      <c r="D18" s="1" t="s">
        <v>395</v>
      </c>
      <c r="E18" s="1" t="s">
        <v>213</v>
      </c>
      <c r="F18" s="1" t="s">
        <v>18</v>
      </c>
      <c r="G18" s="1" t="s">
        <v>396</v>
      </c>
      <c r="H18" s="1" t="s">
        <v>163</v>
      </c>
      <c r="I18" s="1" t="s">
        <v>164</v>
      </c>
      <c r="J18" s="2" t="str">
        <f>HYPERLINK("mailto:schiloane@thedti.gov.za","schiloane@thedti.gov.za ")</f>
        <v>schiloane@thedti.gov.za </v>
      </c>
      <c r="K18" s="24" t="str">
        <f>HYPERLINK("https://www.thedti.gov.za/financial_assistance/financial_incentive.jsp?id=69&amp;subthemeid=","https://www.thedti.gov.za/")</f>
        <v>https://www.thedti.gov.za/</v>
      </c>
      <c r="L18" s="5"/>
      <c r="M18" s="3"/>
      <c r="N18" s="3"/>
      <c r="O18" s="3"/>
      <c r="P18" s="3"/>
      <c r="Q18" s="3"/>
      <c r="R18" s="3"/>
      <c r="S18" s="3"/>
      <c r="T18" s="3"/>
      <c r="U18" s="3"/>
      <c r="V18" s="3"/>
      <c r="W18" s="3"/>
      <c r="X18" s="3"/>
      <c r="Y18" s="3"/>
      <c r="Z18" s="3"/>
    </row>
    <row r="19" spans="1:26" s="12" customFormat="1" ht="45" customHeight="1" x14ac:dyDescent="0.2">
      <c r="A19" s="30" t="s">
        <v>62</v>
      </c>
      <c r="B19" s="30" t="s">
        <v>83</v>
      </c>
      <c r="C19" s="30" t="s">
        <v>221</v>
      </c>
      <c r="D19" s="1" t="s">
        <v>398</v>
      </c>
      <c r="E19" s="1" t="s">
        <v>8</v>
      </c>
      <c r="F19" s="1" t="s">
        <v>70</v>
      </c>
      <c r="G19" s="1" t="s">
        <v>295</v>
      </c>
      <c r="H19" s="1" t="s">
        <v>84</v>
      </c>
      <c r="I19" s="1"/>
      <c r="J19" s="1" t="s">
        <v>85</v>
      </c>
      <c r="K19" s="24" t="str">
        <f>HYPERLINK("http://www.eskom.co.za/sites/idm/pages/whattsupaccordion.aspx?tabid=pnl_24","www.eskom.co.za/")</f>
        <v>www.eskom.co.za/</v>
      </c>
      <c r="L19" s="55"/>
      <c r="M19" s="14"/>
      <c r="N19" s="14"/>
      <c r="O19" s="14"/>
      <c r="P19" s="14"/>
      <c r="Q19" s="14"/>
      <c r="R19" s="14"/>
      <c r="S19" s="14"/>
      <c r="T19" s="14"/>
      <c r="U19" s="14"/>
      <c r="V19" s="14"/>
      <c r="W19" s="14"/>
      <c r="X19" s="14"/>
      <c r="Y19" s="14"/>
      <c r="Z19" s="14"/>
    </row>
    <row r="20" spans="1:26" s="12" customFormat="1" ht="82.5" customHeight="1" x14ac:dyDescent="0.2">
      <c r="A20" s="30" t="s">
        <v>62</v>
      </c>
      <c r="B20" s="30" t="s">
        <v>86</v>
      </c>
      <c r="C20" s="30" t="s">
        <v>220</v>
      </c>
      <c r="D20" s="1" t="s">
        <v>347</v>
      </c>
      <c r="E20" s="1" t="s">
        <v>8</v>
      </c>
      <c r="F20" s="1" t="s">
        <v>188</v>
      </c>
      <c r="G20" s="1" t="s">
        <v>295</v>
      </c>
      <c r="H20" s="1"/>
      <c r="I20" s="1"/>
      <c r="J20" s="1"/>
      <c r="K20" s="11" t="str">
        <f>HYPERLINK("http://www.idc.co.za/development-funds/geef","www.idc.co.za/development-funds/geef")</f>
        <v>www.idc.co.za/development-funds/geef</v>
      </c>
      <c r="L20" s="55"/>
      <c r="M20" s="14"/>
      <c r="N20" s="14"/>
      <c r="O20" s="14"/>
      <c r="P20" s="14"/>
      <c r="Q20" s="14"/>
      <c r="R20" s="14"/>
      <c r="S20" s="14"/>
      <c r="T20" s="14"/>
      <c r="U20" s="14"/>
      <c r="V20" s="14"/>
      <c r="W20" s="14"/>
      <c r="X20" s="14"/>
      <c r="Y20" s="14"/>
      <c r="Z20" s="14"/>
    </row>
    <row r="21" spans="1:26" s="12" customFormat="1" ht="57" customHeight="1" x14ac:dyDescent="0.2">
      <c r="A21" s="30" t="s">
        <v>62</v>
      </c>
      <c r="B21" s="30" t="s">
        <v>86</v>
      </c>
      <c r="C21" s="30"/>
      <c r="D21" s="1" t="s">
        <v>87</v>
      </c>
      <c r="E21" s="1" t="s">
        <v>8</v>
      </c>
      <c r="F21" s="1" t="s">
        <v>188</v>
      </c>
      <c r="G21" s="1" t="s">
        <v>295</v>
      </c>
      <c r="H21" s="1"/>
      <c r="I21" s="1"/>
      <c r="J21" s="1"/>
      <c r="K21" s="11" t="str">
        <f>HYPERLINK("http://www.idc.co.za/development-funds/geef","www.idc.co.za/development-funds/geef")</f>
        <v>www.idc.co.za/development-funds/geef</v>
      </c>
      <c r="L21" s="55"/>
      <c r="M21" s="14"/>
      <c r="N21" s="14"/>
      <c r="O21" s="14"/>
      <c r="P21" s="14"/>
      <c r="Q21" s="14"/>
      <c r="R21" s="14"/>
      <c r="S21" s="14"/>
      <c r="T21" s="14"/>
      <c r="U21" s="14"/>
      <c r="V21" s="14"/>
      <c r="W21" s="14"/>
      <c r="X21" s="14"/>
      <c r="Y21" s="14"/>
      <c r="Z21" s="14"/>
    </row>
    <row r="22" spans="1:26" s="12" customFormat="1" ht="85.5" customHeight="1" x14ac:dyDescent="0.2">
      <c r="A22" s="30" t="s">
        <v>62</v>
      </c>
      <c r="B22" s="30" t="s">
        <v>86</v>
      </c>
      <c r="C22" s="30" t="s">
        <v>324</v>
      </c>
      <c r="D22" s="1" t="s">
        <v>327</v>
      </c>
      <c r="E22" s="1" t="s">
        <v>326</v>
      </c>
      <c r="F22" s="1" t="s">
        <v>198</v>
      </c>
      <c r="G22" s="9" t="s">
        <v>325</v>
      </c>
      <c r="H22" s="1"/>
      <c r="I22" s="1"/>
      <c r="J22" s="1"/>
      <c r="K22" s="11" t="str">
        <f>HYPERLINK("http://www.idc.co.za/development-funds/geef","www.idc.co.za/development-funds/geef")</f>
        <v>www.idc.co.za/development-funds/geef</v>
      </c>
      <c r="L22" s="55" t="s">
        <v>196</v>
      </c>
      <c r="M22" s="14"/>
      <c r="N22" s="14"/>
      <c r="O22" s="14"/>
      <c r="P22" s="14"/>
      <c r="Q22" s="14"/>
      <c r="R22" s="14"/>
      <c r="S22" s="14"/>
      <c r="T22" s="14"/>
      <c r="U22" s="14"/>
      <c r="V22" s="14"/>
      <c r="W22" s="14"/>
      <c r="X22" s="14"/>
      <c r="Y22" s="14"/>
      <c r="Z22" s="14"/>
    </row>
    <row r="23" spans="1:26" s="12" customFormat="1" ht="80.25" customHeight="1" x14ac:dyDescent="0.2">
      <c r="A23" s="30" t="s">
        <v>62</v>
      </c>
      <c r="B23" s="30" t="s">
        <v>88</v>
      </c>
      <c r="C23" s="30"/>
      <c r="D23" s="1" t="s">
        <v>348</v>
      </c>
      <c r="E23" s="1" t="s">
        <v>335</v>
      </c>
      <c r="F23" s="1" t="s">
        <v>188</v>
      </c>
      <c r="G23" s="9" t="s">
        <v>399</v>
      </c>
      <c r="H23" s="1" t="s">
        <v>89</v>
      </c>
      <c r="I23" s="1" t="s">
        <v>90</v>
      </c>
      <c r="J23" s="13" t="str">
        <f>HYPERLINK("mailto:westerncape@nefcorp.co.za?subject=Enquiry","westerncape@nefcorp.co.za")</f>
        <v>westerncape@nefcorp.co.za</v>
      </c>
      <c r="K23" s="11" t="str">
        <f>HYPERLINK("http://www.nefcorp.co.za/","www.nefcorp.co.za/")</f>
        <v>www.nefcorp.co.za/</v>
      </c>
      <c r="L23" s="55"/>
      <c r="M23" s="14"/>
      <c r="N23" s="14"/>
      <c r="O23" s="14"/>
      <c r="P23" s="14"/>
      <c r="Q23" s="14"/>
      <c r="R23" s="14"/>
      <c r="S23" s="14"/>
      <c r="T23" s="14"/>
      <c r="U23" s="14"/>
      <c r="V23" s="14"/>
      <c r="W23" s="14"/>
      <c r="X23" s="14"/>
      <c r="Y23" s="14"/>
      <c r="Z23" s="14"/>
    </row>
    <row r="24" spans="1:26" s="12" customFormat="1" ht="35.25" customHeight="1" x14ac:dyDescent="0.2">
      <c r="A24" s="30" t="s">
        <v>62</v>
      </c>
      <c r="B24" s="30" t="s">
        <v>91</v>
      </c>
      <c r="C24" s="30"/>
      <c r="D24" s="1" t="s">
        <v>92</v>
      </c>
      <c r="E24" s="1" t="s">
        <v>261</v>
      </c>
      <c r="F24" s="1" t="s">
        <v>18</v>
      </c>
      <c r="G24" s="1" t="s">
        <v>295</v>
      </c>
      <c r="H24" s="1" t="s">
        <v>93</v>
      </c>
      <c r="I24" s="1" t="s">
        <v>94</v>
      </c>
      <c r="J24" s="2" t="str">
        <f>HYPERLINK("mailto:james.meiring@nrf.ac.za","Eugene@nrf.ac.za
James.Meiring@nrf.ac.za ")</f>
        <v xml:space="preserve">Eugene@nrf.ac.za
James.Meiring@nrf.ac.za </v>
      </c>
      <c r="K24" s="11" t="str">
        <f>HYPERLINK("http://www.nrf.ac.za/","www.nrf.ac.za/")</f>
        <v>www.nrf.ac.za/</v>
      </c>
      <c r="L24" s="5"/>
      <c r="M24" s="3"/>
      <c r="N24" s="3"/>
      <c r="O24" s="3"/>
      <c r="P24" s="3"/>
      <c r="Q24" s="3"/>
      <c r="R24" s="3"/>
      <c r="S24" s="3"/>
      <c r="T24" s="3"/>
      <c r="U24" s="3"/>
      <c r="V24" s="3"/>
      <c r="W24" s="3"/>
      <c r="X24" s="3"/>
      <c r="Y24" s="3"/>
      <c r="Z24" s="3"/>
    </row>
    <row r="25" spans="1:26" s="12" customFormat="1" ht="96.75" customHeight="1" x14ac:dyDescent="0.2">
      <c r="A25" s="30" t="s">
        <v>62</v>
      </c>
      <c r="B25" s="30" t="s">
        <v>95</v>
      </c>
      <c r="C25" s="30"/>
      <c r="D25" s="1" t="s">
        <v>328</v>
      </c>
      <c r="E25" s="1" t="s">
        <v>335</v>
      </c>
      <c r="F25" s="1" t="s">
        <v>18</v>
      </c>
      <c r="G25" s="9" t="s">
        <v>400</v>
      </c>
      <c r="H25" s="1" t="s">
        <v>96</v>
      </c>
      <c r="I25" s="1" t="s">
        <v>97</v>
      </c>
      <c r="J25" s="1"/>
      <c r="K25" s="24" t="str">
        <f>HYPERLINK("http://www.nyda.gov.za/Pages/default.aspx","www.nyda.gov.za/")</f>
        <v>www.nyda.gov.za/</v>
      </c>
      <c r="L25" s="5" t="s">
        <v>344</v>
      </c>
      <c r="M25" s="3"/>
      <c r="N25" s="3"/>
      <c r="O25" s="3"/>
      <c r="P25" s="3"/>
      <c r="Q25" s="3"/>
      <c r="R25" s="3"/>
      <c r="S25" s="3"/>
      <c r="T25" s="3"/>
      <c r="U25" s="3"/>
      <c r="V25" s="3"/>
      <c r="W25" s="3"/>
      <c r="X25" s="3"/>
      <c r="Y25" s="3"/>
      <c r="Z25" s="3"/>
    </row>
    <row r="26" spans="1:26" s="12" customFormat="1" ht="56.25" customHeight="1" x14ac:dyDescent="0.2">
      <c r="A26" s="30" t="s">
        <v>62</v>
      </c>
      <c r="B26" s="30" t="s">
        <v>155</v>
      </c>
      <c r="C26" s="30" t="s">
        <v>241</v>
      </c>
      <c r="D26" s="1" t="s">
        <v>349</v>
      </c>
      <c r="E26" s="1" t="s">
        <v>335</v>
      </c>
      <c r="F26" s="1" t="s">
        <v>259</v>
      </c>
      <c r="G26" s="1" t="s">
        <v>295</v>
      </c>
      <c r="H26" s="1"/>
      <c r="I26" s="33" t="s">
        <v>355</v>
      </c>
      <c r="J26" s="1" t="s">
        <v>156</v>
      </c>
      <c r="K26" s="24" t="str">
        <f>HYPERLINK("http://isibayafund.pic.gov.za","http://isibayafund.pic.gov.za")</f>
        <v>http://isibayafund.pic.gov.za</v>
      </c>
      <c r="L26" s="5"/>
      <c r="M26" s="3"/>
      <c r="N26" s="3"/>
      <c r="O26" s="3"/>
      <c r="P26" s="3"/>
      <c r="Q26" s="3"/>
      <c r="R26" s="3"/>
      <c r="S26" s="3"/>
      <c r="T26" s="3"/>
      <c r="U26" s="3"/>
      <c r="V26" s="3"/>
      <c r="W26" s="3"/>
      <c r="X26" s="3"/>
      <c r="Y26" s="3"/>
      <c r="Z26" s="3"/>
    </row>
    <row r="27" spans="1:26" s="12" customFormat="1" ht="80.25" customHeight="1" x14ac:dyDescent="0.2">
      <c r="A27" s="30" t="s">
        <v>62</v>
      </c>
      <c r="B27" s="30" t="s">
        <v>98</v>
      </c>
      <c r="C27" s="30" t="s">
        <v>240</v>
      </c>
      <c r="D27" s="1" t="s">
        <v>323</v>
      </c>
      <c r="E27" s="1" t="s">
        <v>335</v>
      </c>
      <c r="F27" s="1" t="s">
        <v>65</v>
      </c>
      <c r="G27" s="1" t="s">
        <v>295</v>
      </c>
      <c r="H27" s="1"/>
      <c r="I27" s="1" t="s">
        <v>99</v>
      </c>
      <c r="J27" s="2" t="str">
        <f>HYPERLINK("mailto:TBreytenbach@seda.org.za","TBreytenbach@seda.org.za")</f>
        <v>TBreytenbach@seda.org.za</v>
      </c>
      <c r="K27" s="11" t="str">
        <f>HYPERLINK("http://www.seda.org.za/","www.seda.org.za")</f>
        <v>www.seda.org.za</v>
      </c>
      <c r="L27" s="5"/>
      <c r="M27" s="3"/>
      <c r="N27" s="3"/>
      <c r="O27" s="3"/>
      <c r="P27" s="3"/>
      <c r="Q27" s="3"/>
      <c r="R27" s="3"/>
      <c r="S27" s="3"/>
      <c r="T27" s="3"/>
      <c r="U27" s="3"/>
      <c r="V27" s="3"/>
      <c r="W27" s="3"/>
      <c r="X27" s="3"/>
      <c r="Y27" s="3"/>
      <c r="Z27" s="3"/>
    </row>
    <row r="28" spans="1:26" s="12" customFormat="1" ht="54.75" customHeight="1" x14ac:dyDescent="0.2">
      <c r="A28" s="30" t="s">
        <v>62</v>
      </c>
      <c r="B28" s="30" t="s">
        <v>100</v>
      </c>
      <c r="C28" s="30"/>
      <c r="D28" s="1" t="s">
        <v>262</v>
      </c>
      <c r="E28" s="1" t="s">
        <v>335</v>
      </c>
      <c r="F28" s="1" t="s">
        <v>275</v>
      </c>
      <c r="G28" s="1" t="s">
        <v>401</v>
      </c>
      <c r="H28" s="1" t="s">
        <v>101</v>
      </c>
      <c r="I28" s="1" t="s">
        <v>102</v>
      </c>
      <c r="J28" s="2" t="str">
        <f>HYPERLINK("mailto:helpline@sefa.org.za","helpline@sefa.org.za")</f>
        <v>helpline@sefa.org.za</v>
      </c>
      <c r="K28" s="11" t="str">
        <f>HYPERLINK("http://www.sefa.org.za/","www.sefa.org.za/")</f>
        <v>www.sefa.org.za/</v>
      </c>
      <c r="L28" s="55"/>
      <c r="M28" s="14"/>
      <c r="N28" s="14"/>
      <c r="O28" s="14"/>
      <c r="P28" s="14"/>
      <c r="Q28" s="14"/>
      <c r="R28" s="14"/>
      <c r="S28" s="14"/>
      <c r="T28" s="14"/>
      <c r="U28" s="14"/>
      <c r="V28" s="14"/>
      <c r="W28" s="14"/>
      <c r="X28" s="14"/>
      <c r="Y28" s="14"/>
      <c r="Z28" s="14"/>
    </row>
    <row r="29" spans="1:26" s="12" customFormat="1" ht="69.75" customHeight="1" x14ac:dyDescent="0.2">
      <c r="A29" s="30" t="s">
        <v>62</v>
      </c>
      <c r="B29" s="30" t="s">
        <v>100</v>
      </c>
      <c r="C29" s="30"/>
      <c r="D29" s="1" t="s">
        <v>263</v>
      </c>
      <c r="E29" s="1" t="s">
        <v>335</v>
      </c>
      <c r="F29" s="1" t="s">
        <v>275</v>
      </c>
      <c r="G29" s="1" t="s">
        <v>402</v>
      </c>
      <c r="H29" s="1" t="s">
        <v>101</v>
      </c>
      <c r="I29" s="1" t="s">
        <v>102</v>
      </c>
      <c r="J29" s="2" t="str">
        <f>HYPERLINK("mailto:helpline@sefa.org.za","helpline@sefa.org.za")</f>
        <v>helpline@sefa.org.za</v>
      </c>
      <c r="K29" s="11" t="str">
        <f>HYPERLINK("http://www.sefa.org.za/","www.sefa.org.za/")</f>
        <v>www.sefa.org.za/</v>
      </c>
      <c r="L29" s="56"/>
      <c r="M29" s="15"/>
      <c r="N29" s="15"/>
      <c r="O29" s="15"/>
      <c r="P29" s="15"/>
      <c r="Q29" s="15"/>
      <c r="R29" s="15"/>
      <c r="S29" s="15"/>
      <c r="T29" s="15"/>
      <c r="U29" s="15"/>
      <c r="V29" s="15"/>
      <c r="W29" s="15"/>
      <c r="X29" s="15"/>
      <c r="Y29" s="15"/>
      <c r="Z29" s="15"/>
    </row>
    <row r="30" spans="1:26" s="12" customFormat="1" ht="64.5" customHeight="1" x14ac:dyDescent="0.2">
      <c r="A30" s="30" t="s">
        <v>62</v>
      </c>
      <c r="B30" s="30" t="s">
        <v>103</v>
      </c>
      <c r="C30" s="30" t="s">
        <v>237</v>
      </c>
      <c r="D30" s="1" t="s">
        <v>236</v>
      </c>
      <c r="E30" s="1" t="s">
        <v>8</v>
      </c>
      <c r="F30" s="1" t="s">
        <v>70</v>
      </c>
      <c r="G30" s="1" t="s">
        <v>295</v>
      </c>
      <c r="H30" s="1" t="s">
        <v>104</v>
      </c>
      <c r="I30" s="1"/>
      <c r="J30" s="2" t="str">
        <f>HYPERLINK("mailto:BarryB@sanedi.org.za","BarryB@sanedi.org.za")</f>
        <v>BarryB@sanedi.org.za</v>
      </c>
      <c r="K30" s="11" t="str">
        <f>HYPERLINK("http://www.sanedi.org.za/12l-ee-tax-incentive/","www.sanedi.org.za/12l-ee-tax-incentive/")</f>
        <v>www.sanedi.org.za/12l-ee-tax-incentive/</v>
      </c>
      <c r="L30" s="56"/>
      <c r="M30" s="15"/>
      <c r="N30" s="15"/>
      <c r="O30" s="15"/>
      <c r="P30" s="15"/>
      <c r="Q30" s="15"/>
      <c r="R30" s="15"/>
      <c r="S30" s="15"/>
      <c r="T30" s="15"/>
      <c r="U30" s="15"/>
      <c r="V30" s="15"/>
      <c r="W30" s="15"/>
      <c r="X30" s="15"/>
      <c r="Y30" s="15"/>
      <c r="Z30" s="15"/>
    </row>
    <row r="31" spans="1:26" s="12" customFormat="1" ht="84" customHeight="1" x14ac:dyDescent="0.2">
      <c r="A31" s="30" t="s">
        <v>62</v>
      </c>
      <c r="B31" s="30" t="s">
        <v>105</v>
      </c>
      <c r="C31" s="30" t="s">
        <v>264</v>
      </c>
      <c r="D31" s="1" t="s">
        <v>265</v>
      </c>
      <c r="E31" s="1" t="s">
        <v>195</v>
      </c>
      <c r="F31" s="1" t="s">
        <v>70</v>
      </c>
      <c r="G31" s="1" t="s">
        <v>295</v>
      </c>
      <c r="H31" s="1"/>
      <c r="I31" s="1"/>
      <c r="J31" s="1"/>
      <c r="K31" s="25"/>
      <c r="L31" s="56"/>
      <c r="M31" s="15"/>
      <c r="N31" s="15"/>
      <c r="O31" s="15"/>
      <c r="P31" s="15"/>
      <c r="Q31" s="15"/>
      <c r="R31" s="15"/>
      <c r="S31" s="15"/>
      <c r="T31" s="15"/>
      <c r="U31" s="15"/>
      <c r="V31" s="15"/>
      <c r="W31" s="15"/>
      <c r="X31" s="15"/>
      <c r="Y31" s="15"/>
      <c r="Z31" s="15"/>
    </row>
    <row r="32" spans="1:26" s="12" customFormat="1" ht="44.25" customHeight="1" x14ac:dyDescent="0.2">
      <c r="A32" s="30" t="s">
        <v>62</v>
      </c>
      <c r="B32" s="30" t="s">
        <v>105</v>
      </c>
      <c r="C32" s="30" t="s">
        <v>239</v>
      </c>
      <c r="D32" s="1" t="s">
        <v>238</v>
      </c>
      <c r="E32" s="1" t="s">
        <v>8</v>
      </c>
      <c r="F32" s="1" t="s">
        <v>70</v>
      </c>
      <c r="G32" s="1" t="s">
        <v>295</v>
      </c>
      <c r="H32" s="1"/>
      <c r="I32" s="1"/>
      <c r="J32" s="1"/>
      <c r="K32" s="24" t="str">
        <f>HYPERLINK("http://www.greenbusinessguide.co.za/environmental-financial-incentives-in-south-africa-2013/","www.greenbusinessguide.co.za/")</f>
        <v>www.greenbusinessguide.co.za/</v>
      </c>
      <c r="L32" s="56"/>
      <c r="M32" s="15"/>
      <c r="N32" s="15"/>
      <c r="O32" s="15"/>
      <c r="P32" s="15"/>
      <c r="Q32" s="15"/>
      <c r="R32" s="15"/>
      <c r="S32" s="15"/>
      <c r="T32" s="15"/>
      <c r="U32" s="15"/>
      <c r="V32" s="15"/>
      <c r="W32" s="15"/>
      <c r="X32" s="15"/>
      <c r="Y32" s="15"/>
      <c r="Z32" s="15"/>
    </row>
    <row r="33" spans="1:26" s="12" customFormat="1" ht="63.75" customHeight="1" x14ac:dyDescent="0.2">
      <c r="A33" s="30" t="s">
        <v>62</v>
      </c>
      <c r="B33" s="30" t="s">
        <v>106</v>
      </c>
      <c r="C33" s="30"/>
      <c r="D33" s="1" t="s">
        <v>107</v>
      </c>
      <c r="E33" s="1" t="s">
        <v>333</v>
      </c>
      <c r="F33" s="1" t="s">
        <v>257</v>
      </c>
      <c r="G33" s="9" t="s">
        <v>295</v>
      </c>
      <c r="H33" s="1"/>
      <c r="I33" s="33" t="s">
        <v>334</v>
      </c>
      <c r="J33" s="2" t="str">
        <f>HYPERLINK("mailto:info@tia.org.za","info@tia.org.za ")</f>
        <v xml:space="preserve">info@tia.org.za </v>
      </c>
      <c r="K33" s="11" t="str">
        <f>HYPERLINK("http://www.tia.org.za/","www.tia.org.za/")</f>
        <v>www.tia.org.za/</v>
      </c>
      <c r="L33" s="56" t="s">
        <v>332</v>
      </c>
      <c r="M33" s="15"/>
      <c r="N33" s="15"/>
      <c r="O33" s="15"/>
      <c r="P33" s="15"/>
      <c r="Q33" s="15"/>
      <c r="R33" s="15"/>
      <c r="S33" s="15"/>
      <c r="T33" s="15"/>
      <c r="U33" s="15"/>
      <c r="V33" s="15"/>
      <c r="W33" s="15"/>
      <c r="X33" s="15"/>
      <c r="Y33" s="15"/>
      <c r="Z33" s="15"/>
    </row>
    <row r="34" spans="1:26" s="12" customFormat="1" ht="81" customHeight="1" x14ac:dyDescent="0.2">
      <c r="A34" s="30" t="s">
        <v>316</v>
      </c>
      <c r="B34" s="30" t="s">
        <v>185</v>
      </c>
      <c r="C34" s="30" t="s">
        <v>245</v>
      </c>
      <c r="D34" s="1" t="s">
        <v>315</v>
      </c>
      <c r="E34" s="1" t="s">
        <v>295</v>
      </c>
      <c r="F34" s="1" t="s">
        <v>188</v>
      </c>
      <c r="G34" s="9" t="s">
        <v>295</v>
      </c>
      <c r="H34" s="16"/>
      <c r="I34" s="7" t="s">
        <v>186</v>
      </c>
      <c r="J34" s="1"/>
      <c r="K34" s="24" t="str">
        <f>HYPERLINK("https://www.cashflowcapital.co.za/","https://www.cashflowcapital.co.za/")</f>
        <v>https://www.cashflowcapital.co.za/</v>
      </c>
      <c r="L34" s="5"/>
      <c r="M34" s="3"/>
      <c r="N34" s="3"/>
      <c r="O34" s="3"/>
      <c r="P34" s="3"/>
      <c r="Q34" s="3"/>
      <c r="R34" s="3"/>
      <c r="S34" s="3"/>
      <c r="T34" s="3"/>
      <c r="U34" s="3"/>
      <c r="V34" s="3"/>
      <c r="W34" s="3"/>
      <c r="X34" s="3"/>
      <c r="Y34" s="3"/>
      <c r="Z34" s="3"/>
    </row>
    <row r="35" spans="1:26" s="12" customFormat="1" ht="148.5" customHeight="1" x14ac:dyDescent="0.2">
      <c r="A35" s="30" t="s">
        <v>62</v>
      </c>
      <c r="B35" s="30" t="s">
        <v>165</v>
      </c>
      <c r="C35" s="30" t="s">
        <v>246</v>
      </c>
      <c r="D35" s="1" t="s">
        <v>269</v>
      </c>
      <c r="E35" s="1" t="s">
        <v>281</v>
      </c>
      <c r="F35" s="1" t="s">
        <v>18</v>
      </c>
      <c r="G35" s="9" t="s">
        <v>356</v>
      </c>
      <c r="H35" s="1" t="s">
        <v>166</v>
      </c>
      <c r="I35" s="1" t="s">
        <v>167</v>
      </c>
      <c r="J35" s="1" t="s">
        <v>168</v>
      </c>
      <c r="K35" s="24" t="str">
        <f>HYPERLINK("http://cdicapital.co.za/growthfund/","http://cdicapital.co.za/growthfund/")</f>
        <v>http://cdicapital.co.za/growthfund/</v>
      </c>
      <c r="L35" s="5"/>
      <c r="M35" s="3"/>
      <c r="N35" s="3"/>
      <c r="O35" s="3"/>
      <c r="P35" s="3"/>
      <c r="Q35" s="3"/>
      <c r="R35" s="3"/>
      <c r="S35" s="3"/>
      <c r="T35" s="3"/>
      <c r="U35" s="3"/>
      <c r="V35" s="3"/>
      <c r="W35" s="3"/>
      <c r="X35" s="3"/>
      <c r="Y35" s="3"/>
      <c r="Z35" s="3"/>
    </row>
    <row r="36" spans="1:26" s="12" customFormat="1" ht="66" customHeight="1" x14ac:dyDescent="0.2">
      <c r="A36" s="30" t="s">
        <v>62</v>
      </c>
      <c r="B36" s="30" t="s">
        <v>165</v>
      </c>
      <c r="C36" s="30" t="s">
        <v>309</v>
      </c>
      <c r="D36" s="1" t="s">
        <v>310</v>
      </c>
      <c r="E36" s="1" t="s">
        <v>281</v>
      </c>
      <c r="F36" s="1" t="s">
        <v>18</v>
      </c>
      <c r="G36" s="1" t="s">
        <v>295</v>
      </c>
      <c r="H36" s="1" t="s">
        <v>166</v>
      </c>
      <c r="I36" s="1" t="s">
        <v>167</v>
      </c>
      <c r="J36" s="1" t="s">
        <v>168</v>
      </c>
      <c r="K36" s="24" t="str">
        <f>HYPERLINK("http://cdicapital.co.za/growthfund/","http://cdicapital.co.za/growthfund/")</f>
        <v>http://cdicapital.co.za/growthfund/</v>
      </c>
      <c r="L36" s="5"/>
      <c r="M36" s="3"/>
      <c r="N36" s="3"/>
      <c r="O36" s="3"/>
      <c r="P36" s="3"/>
      <c r="Q36" s="3"/>
      <c r="R36" s="3"/>
      <c r="S36" s="3"/>
      <c r="T36" s="3"/>
      <c r="U36" s="3"/>
      <c r="V36" s="3"/>
      <c r="W36" s="3"/>
      <c r="X36" s="3"/>
      <c r="Y36" s="3"/>
      <c r="Z36" s="3"/>
    </row>
    <row r="37" spans="1:26" s="12" customFormat="1" ht="68.25" customHeight="1" x14ac:dyDescent="0.2">
      <c r="A37" s="30" t="s">
        <v>62</v>
      </c>
      <c r="B37" s="31" t="s">
        <v>165</v>
      </c>
      <c r="C37" s="31" t="s">
        <v>252</v>
      </c>
      <c r="D37" s="4" t="s">
        <v>270</v>
      </c>
      <c r="E37" s="4" t="s">
        <v>281</v>
      </c>
      <c r="F37" s="4" t="s">
        <v>18</v>
      </c>
      <c r="G37" s="4" t="s">
        <v>295</v>
      </c>
      <c r="H37" s="4" t="s">
        <v>166</v>
      </c>
      <c r="I37" s="4" t="s">
        <v>167</v>
      </c>
      <c r="J37" s="4" t="s">
        <v>168</v>
      </c>
      <c r="K37" s="73" t="str">
        <f>HYPERLINK("http://cdicapital.co.za/growthfund/","http://cdicapital.co.za/growthfund/")</f>
        <v>http://cdicapital.co.za/growthfund/</v>
      </c>
      <c r="L37" s="5"/>
      <c r="M37" s="3"/>
      <c r="N37" s="3"/>
      <c r="O37" s="3"/>
      <c r="P37" s="3"/>
      <c r="Q37" s="3"/>
      <c r="R37" s="3"/>
      <c r="S37" s="3"/>
      <c r="T37" s="3"/>
      <c r="U37" s="3"/>
      <c r="V37" s="3"/>
      <c r="W37" s="3"/>
      <c r="X37" s="3"/>
      <c r="Y37" s="3"/>
      <c r="Z37" s="3"/>
    </row>
    <row r="38" spans="1:26" ht="109.5" customHeight="1" x14ac:dyDescent="0.25">
      <c r="A38" s="75" t="s">
        <v>62</v>
      </c>
      <c r="B38" s="32" t="s">
        <v>432</v>
      </c>
      <c r="C38" s="66" t="s">
        <v>431</v>
      </c>
      <c r="D38" s="91" t="s">
        <v>461</v>
      </c>
      <c r="E38" s="70" t="s">
        <v>335</v>
      </c>
      <c r="F38" s="70" t="s">
        <v>277</v>
      </c>
      <c r="G38" s="74" t="s">
        <v>433</v>
      </c>
      <c r="H38" s="4"/>
      <c r="I38" s="89" t="s">
        <v>434</v>
      </c>
      <c r="J38" s="72" t="str">
        <f>HYPERLINK("callcentre@tourism.gov.za","callcentre@tourism.gov.za")</f>
        <v>callcentre@tourism.gov.za</v>
      </c>
      <c r="K38" s="72" t="str">
        <f>HYPERLINK("https://www.westerncape.gov.za/service/itmas-funding-international-exhibition-participation", "https://www.westerncape.gov.za/")</f>
        <v>https://www.westerncape.gov.za/</v>
      </c>
      <c r="L38" s="67"/>
    </row>
    <row r="39" spans="1:26" ht="81.75" customHeight="1" x14ac:dyDescent="0.25">
      <c r="A39" s="75" t="s">
        <v>62</v>
      </c>
      <c r="B39" s="30" t="s">
        <v>75</v>
      </c>
      <c r="C39" s="81" t="s">
        <v>457</v>
      </c>
      <c r="D39" s="92" t="s">
        <v>462</v>
      </c>
      <c r="E39" s="70" t="s">
        <v>335</v>
      </c>
      <c r="F39" s="17" t="s">
        <v>65</v>
      </c>
      <c r="G39" s="74" t="s">
        <v>460</v>
      </c>
      <c r="H39" s="5" t="s">
        <v>459</v>
      </c>
      <c r="I39" s="68" t="s">
        <v>458</v>
      </c>
      <c r="J39" s="90" t="str">
        <f>HYPERLINK("JKoko@thedti.gov.za","JKoko@thedti.gov.za")</f>
        <v>JKoko@thedti.gov.za</v>
      </c>
      <c r="K39" s="72" t="str">
        <f>HYPERLINK("https://www.thedti.gov.za/financial_assistance/financial_incentive.jsp?id=4&amp;subthemeid=26","https://www.thedti.gov.za/")</f>
        <v>https://www.thedti.gov.za/</v>
      </c>
      <c r="L39" s="67"/>
    </row>
  </sheetData>
  <autoFilter ref="A1:L38"/>
  <hyperlinks>
    <hyperlink ref="K34" r:id="rId1" display="https://www.cashflowcapital.co.za/"/>
    <hyperlink ref="J13" r:id="rId2" display="mailto:TLehohla@thedti.gov.za"/>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23"/>
  <sheetViews>
    <sheetView zoomScale="80" zoomScaleNormal="80" workbookViewId="0">
      <pane xSplit="2" ySplit="1" topLeftCell="C2" activePane="bottomRight" state="frozen"/>
      <selection pane="topRight" activeCell="C1" sqref="C1"/>
      <selection pane="bottomLeft" activeCell="A2" sqref="A2"/>
      <selection pane="bottomRight" activeCell="B23" sqref="B23"/>
    </sheetView>
  </sheetViews>
  <sheetFormatPr defaultColWidth="14.42578125" defaultRowHeight="15" x14ac:dyDescent="0.25"/>
  <cols>
    <col min="1" max="1" width="29.5703125" customWidth="1"/>
    <col min="2" max="2" width="28.140625" customWidth="1"/>
    <col min="3" max="3" width="32.42578125" customWidth="1"/>
    <col min="4" max="4" width="89.140625" customWidth="1"/>
    <col min="5" max="5" width="27.28515625" customWidth="1"/>
    <col min="6" max="6" width="29.5703125" customWidth="1"/>
    <col min="7" max="7" width="24.7109375" customWidth="1"/>
    <col min="8" max="8" width="27.5703125" customWidth="1"/>
    <col min="9" max="9" width="24.85546875" customWidth="1"/>
    <col min="10" max="10" width="34.140625" customWidth="1"/>
    <col min="11" max="11" width="41.5703125" customWidth="1"/>
    <col min="12" max="12" width="26.5703125" customWidth="1"/>
    <col min="13" max="26" width="8.85546875" customWidth="1"/>
  </cols>
  <sheetData>
    <row r="1" spans="1:26" s="12" customFormat="1" ht="36.75" customHeight="1" x14ac:dyDescent="0.2">
      <c r="A1" s="54" t="s">
        <v>0</v>
      </c>
      <c r="B1" s="54" t="s">
        <v>1</v>
      </c>
      <c r="C1" s="54" t="s">
        <v>247</v>
      </c>
      <c r="D1" s="54" t="s">
        <v>249</v>
      </c>
      <c r="E1" s="54" t="s">
        <v>305</v>
      </c>
      <c r="F1" s="54" t="s">
        <v>271</v>
      </c>
      <c r="G1" s="54" t="s">
        <v>390</v>
      </c>
      <c r="H1" s="54" t="s">
        <v>2</v>
      </c>
      <c r="I1" s="54" t="s">
        <v>3</v>
      </c>
      <c r="J1" s="54" t="s">
        <v>4</v>
      </c>
      <c r="K1" s="54" t="s">
        <v>5</v>
      </c>
      <c r="L1" s="54" t="s">
        <v>191</v>
      </c>
      <c r="M1" s="3"/>
      <c r="N1" s="3"/>
      <c r="O1" s="3"/>
      <c r="P1" s="3"/>
      <c r="Q1" s="3"/>
      <c r="R1" s="3"/>
      <c r="S1" s="3"/>
      <c r="T1" s="3"/>
      <c r="U1" s="3"/>
      <c r="V1" s="3"/>
      <c r="W1" s="3"/>
      <c r="X1" s="3"/>
      <c r="Y1" s="3"/>
      <c r="Z1" s="3"/>
    </row>
    <row r="2" spans="1:26" ht="63" customHeight="1" x14ac:dyDescent="0.25">
      <c r="A2" s="47" t="s">
        <v>30</v>
      </c>
      <c r="B2" s="47" t="s">
        <v>151</v>
      </c>
      <c r="C2" s="47"/>
      <c r="D2" s="93" t="s">
        <v>152</v>
      </c>
      <c r="E2" s="48" t="s">
        <v>213</v>
      </c>
      <c r="F2" s="48" t="s">
        <v>20</v>
      </c>
      <c r="G2" s="50" t="s">
        <v>320</v>
      </c>
      <c r="H2" s="48"/>
      <c r="I2" s="51" t="s">
        <v>321</v>
      </c>
      <c r="J2" s="48"/>
      <c r="K2" s="52" t="str">
        <f>HYPERLINK("http://ariseinvest.com/","http://ariseinvest.com/")</f>
        <v>http://ariseinvest.com/</v>
      </c>
      <c r="L2" s="53"/>
    </row>
    <row r="3" spans="1:26" ht="81" customHeight="1" x14ac:dyDescent="0.25">
      <c r="A3" s="30" t="s">
        <v>30</v>
      </c>
      <c r="B3" s="30" t="s">
        <v>31</v>
      </c>
      <c r="C3" s="30" t="s">
        <v>211</v>
      </c>
      <c r="D3" s="34" t="s">
        <v>463</v>
      </c>
      <c r="E3" s="1" t="s">
        <v>195</v>
      </c>
      <c r="F3" s="1" t="s">
        <v>257</v>
      </c>
      <c r="G3" s="9" t="s">
        <v>295</v>
      </c>
      <c r="H3" s="1"/>
      <c r="I3" s="1" t="s">
        <v>32</v>
      </c>
      <c r="J3" s="2" t="str">
        <f>HYPERLINK("mailto:enquiries@sagreenfund.org.za","enquiries@sagreenfund.org.za")</f>
        <v>enquiries@sagreenfund.org.za</v>
      </c>
      <c r="K3" s="11" t="str">
        <f>HYPERLINK("http://www.sagreenfund.org.za/","www.sagreenfund.org.za")</f>
        <v>www.sagreenfund.org.za</v>
      </c>
      <c r="L3" s="5"/>
    </row>
    <row r="4" spans="1:26" ht="101.25" customHeight="1" x14ac:dyDescent="0.25">
      <c r="A4" s="30" t="s">
        <v>30</v>
      </c>
      <c r="B4" s="30" t="s">
        <v>31</v>
      </c>
      <c r="C4" s="30" t="s">
        <v>212</v>
      </c>
      <c r="D4" s="34" t="s">
        <v>464</v>
      </c>
      <c r="E4" s="1" t="s">
        <v>214</v>
      </c>
      <c r="F4" s="1" t="s">
        <v>188</v>
      </c>
      <c r="G4" s="9" t="s">
        <v>295</v>
      </c>
      <c r="H4" s="1"/>
      <c r="I4" s="1"/>
      <c r="J4" s="2" t="str">
        <f>HYPERLINK("mailto:iipsa@dbsa.org","iipsa@dbsa.org")</f>
        <v>iipsa@dbsa.org</v>
      </c>
      <c r="K4" s="27" t="str">
        <f>HYPERLINK("http://www.dbsa.org/EN/prodserv/IIPSA/Pages/default.aspx","http://www.dbsa.org/")</f>
        <v>http://www.dbsa.org/</v>
      </c>
      <c r="L4" s="5"/>
    </row>
    <row r="5" spans="1:26" ht="63.75" x14ac:dyDescent="0.25">
      <c r="A5" s="30" t="s">
        <v>30</v>
      </c>
      <c r="B5" s="30" t="s">
        <v>31</v>
      </c>
      <c r="C5" s="30" t="s">
        <v>350</v>
      </c>
      <c r="D5" s="34" t="s">
        <v>465</v>
      </c>
      <c r="E5" s="1" t="s">
        <v>214</v>
      </c>
      <c r="F5" s="1" t="s">
        <v>284</v>
      </c>
      <c r="G5" s="9" t="s">
        <v>295</v>
      </c>
      <c r="H5" s="1"/>
      <c r="I5" s="1"/>
      <c r="J5" s="2" t="str">
        <f>HYPERLINK("mailto:sadcppdf@dbsa.org","sadcppdf@dbsa.org")</f>
        <v>sadcppdf@dbsa.org</v>
      </c>
      <c r="K5" s="27" t="str">
        <f>HYPERLINK("http://www.sadcppdf.org/?page_id=469","http://www.sadcppdf.org/")</f>
        <v>http://www.sadcppdf.org/</v>
      </c>
      <c r="L5" s="5"/>
    </row>
    <row r="6" spans="1:26" ht="58.5" customHeight="1" x14ac:dyDescent="0.25">
      <c r="A6" s="30" t="s">
        <v>30</v>
      </c>
      <c r="B6" s="30" t="s">
        <v>56</v>
      </c>
      <c r="C6" s="30" t="s">
        <v>218</v>
      </c>
      <c r="D6" s="34" t="s">
        <v>466</v>
      </c>
      <c r="E6" s="1" t="s">
        <v>8</v>
      </c>
      <c r="F6" s="1" t="s">
        <v>283</v>
      </c>
      <c r="G6" s="9"/>
      <c r="H6" s="1"/>
      <c r="I6" s="1"/>
      <c r="J6" s="1"/>
      <c r="K6" s="27" t="str">
        <f>HYPERLINK("http://www.southsouthnorth.org/sustainable-settlements-facility-ssf/","www.southsouthnorth.org/")</f>
        <v>www.southsouthnorth.org/</v>
      </c>
      <c r="L6" s="5"/>
    </row>
    <row r="7" spans="1:26" ht="100.5" customHeight="1" x14ac:dyDescent="0.25">
      <c r="A7" s="30" t="s">
        <v>30</v>
      </c>
      <c r="B7" s="30" t="s">
        <v>197</v>
      </c>
      <c r="C7" s="30"/>
      <c r="D7" s="34" t="s">
        <v>467</v>
      </c>
      <c r="E7" s="1" t="s">
        <v>195</v>
      </c>
      <c r="F7" s="1" t="s">
        <v>18</v>
      </c>
      <c r="G7" s="9" t="s">
        <v>312</v>
      </c>
      <c r="H7" s="1"/>
      <c r="I7" s="1" t="s">
        <v>33</v>
      </c>
      <c r="J7" s="1" t="s">
        <v>34</v>
      </c>
      <c r="K7" s="11" t="str">
        <f>HYPERLINK("http://eepafrica.org/","http://eepafrica.org/")</f>
        <v>http://eepafrica.org/</v>
      </c>
      <c r="L7" s="5"/>
    </row>
    <row r="8" spans="1:26" ht="99.75" customHeight="1" x14ac:dyDescent="0.25">
      <c r="A8" s="30" t="s">
        <v>30</v>
      </c>
      <c r="B8" s="30" t="s">
        <v>35</v>
      </c>
      <c r="C8" s="30"/>
      <c r="D8" s="34" t="s">
        <v>468</v>
      </c>
      <c r="E8" s="1" t="s">
        <v>195</v>
      </c>
      <c r="F8" s="1" t="s">
        <v>188</v>
      </c>
      <c r="G8" s="9"/>
      <c r="H8" s="1"/>
      <c r="I8" s="1" t="s">
        <v>36</v>
      </c>
      <c r="J8" s="2" t="str">
        <f>HYPERLINK("mailto:info@eib.org","pretoria@eib.org")</f>
        <v>pretoria@eib.org</v>
      </c>
      <c r="K8" s="11" t="str">
        <f>HYPERLINK("http://www.eib.org/acp","www.eib.org/acp")</f>
        <v>www.eib.org/acp</v>
      </c>
      <c r="L8" s="5"/>
    </row>
    <row r="9" spans="1:26" ht="155.25" customHeight="1" x14ac:dyDescent="0.25">
      <c r="A9" s="30" t="s">
        <v>30</v>
      </c>
      <c r="B9" s="30" t="s">
        <v>279</v>
      </c>
      <c r="C9" s="30" t="s">
        <v>278</v>
      </c>
      <c r="D9" s="34" t="s">
        <v>469</v>
      </c>
      <c r="E9" s="1" t="s">
        <v>195</v>
      </c>
      <c r="F9" s="1" t="s">
        <v>18</v>
      </c>
      <c r="G9" s="9"/>
      <c r="H9" s="1" t="s">
        <v>37</v>
      </c>
      <c r="I9" s="1" t="s">
        <v>38</v>
      </c>
      <c r="J9" s="2" t="str">
        <f>HYPERLINK("mailto:rmoore1@thegef.org","RMoore@thegef.org
SDobardzic@thegef.org")</f>
        <v>RMoore@thegef.org
SDobardzic@thegef.org</v>
      </c>
      <c r="K9" s="11" t="str">
        <f>HYPERLINK("http://www.thegef.org/gef/SCCF","www.thegef.org/gef/SCCF")</f>
        <v>www.thegef.org/gef/SCCF</v>
      </c>
      <c r="L9" s="5"/>
    </row>
    <row r="10" spans="1:26" ht="66" customHeight="1" x14ac:dyDescent="0.25">
      <c r="A10" s="30" t="s">
        <v>30</v>
      </c>
      <c r="B10" s="30" t="s">
        <v>39</v>
      </c>
      <c r="C10" s="30"/>
      <c r="D10" s="34" t="s">
        <v>40</v>
      </c>
      <c r="E10" s="1" t="s">
        <v>195</v>
      </c>
      <c r="F10" s="1" t="s">
        <v>188</v>
      </c>
      <c r="G10" s="9"/>
      <c r="H10" s="1" t="s">
        <v>41</v>
      </c>
      <c r="I10" s="1" t="s">
        <v>42</v>
      </c>
      <c r="J10" s="2" t="str">
        <f>HYPERLINK("mailto:kfw.pretoria@kfw.de","kfw.pretoria@kfw.de")</f>
        <v>kfw.pretoria@kfw.de</v>
      </c>
      <c r="K10" s="24" t="str">
        <f>HYPERLINK("http://www.kfw-entwicklungsbank.de/International-financing/KfW-Development-Bank/Local-presence/Subsahara-Africa/South-Africa/","www.kfw-entwicklungsbank.de/")</f>
        <v>www.kfw-entwicklungsbank.de/</v>
      </c>
      <c r="L10" s="5"/>
    </row>
    <row r="11" spans="1:26" ht="38.25" x14ac:dyDescent="0.25">
      <c r="A11" s="30" t="s">
        <v>30</v>
      </c>
      <c r="B11" s="30" t="s">
        <v>43</v>
      </c>
      <c r="C11" s="30"/>
      <c r="D11" s="34" t="s">
        <v>470</v>
      </c>
      <c r="E11" s="1" t="s">
        <v>195</v>
      </c>
      <c r="F11" s="1" t="s">
        <v>259</v>
      </c>
      <c r="G11" s="9" t="s">
        <v>437</v>
      </c>
      <c r="H11" s="1" t="s">
        <v>44</v>
      </c>
      <c r="I11" s="1" t="s">
        <v>45</v>
      </c>
      <c r="J11" s="2" t="str">
        <f>HYPERLINK("mailto:Michael.Fischer@deginvest.de","Michael.Fischer@deginvest.de")</f>
        <v>Michael.Fischer@deginvest.de</v>
      </c>
      <c r="K11" s="11" t="str">
        <f>HYPERLINK("http://www.deginvest.de/","www.deginvest.de")</f>
        <v>www.deginvest.de</v>
      </c>
      <c r="L11" s="5"/>
    </row>
    <row r="12" spans="1:26" ht="30" customHeight="1" x14ac:dyDescent="0.25">
      <c r="A12" s="30" t="s">
        <v>30</v>
      </c>
      <c r="B12" s="30" t="s">
        <v>46</v>
      </c>
      <c r="C12" s="30"/>
      <c r="D12" s="34" t="s">
        <v>304</v>
      </c>
      <c r="E12" s="1" t="s">
        <v>195</v>
      </c>
      <c r="F12" s="1" t="s">
        <v>18</v>
      </c>
      <c r="G12" s="9"/>
      <c r="H12" s="1" t="s">
        <v>47</v>
      </c>
      <c r="I12" s="1" t="s">
        <v>48</v>
      </c>
      <c r="J12" s="2" t="str">
        <f>HYPERLINK("mailto:Khathutshelo.Neluheni@undp.org","Khathutshelo.Neluheni@undp.org")</f>
        <v>Khathutshelo.Neluheni@undp.org</v>
      </c>
      <c r="K12" s="24" t="str">
        <f>HYPERLINK("http://www.environment.gov.za/projectsprogrammes/donorfunded/gefsgp","www.environment.gov.za/")</f>
        <v>www.environment.gov.za/</v>
      </c>
      <c r="L12" s="5"/>
    </row>
    <row r="13" spans="1:26" ht="90.75" customHeight="1" x14ac:dyDescent="0.25">
      <c r="A13" s="30" t="s">
        <v>30</v>
      </c>
      <c r="B13" s="30" t="s">
        <v>49</v>
      </c>
      <c r="C13" s="30" t="s">
        <v>49</v>
      </c>
      <c r="D13" s="34" t="s">
        <v>471</v>
      </c>
      <c r="E13" s="1" t="s">
        <v>266</v>
      </c>
      <c r="F13" s="1" t="s">
        <v>257</v>
      </c>
      <c r="G13" s="9" t="s">
        <v>313</v>
      </c>
      <c r="H13" s="1"/>
      <c r="I13" s="1"/>
      <c r="J13" s="1"/>
      <c r="K13" s="11" t="str">
        <f>HYPERLINK("http://www.globalinnovation.fund/","www.globalinnovation.fund/")</f>
        <v>www.globalinnovation.fund/</v>
      </c>
      <c r="L13" s="5" t="s">
        <v>267</v>
      </c>
    </row>
    <row r="14" spans="1:26" ht="62.25" customHeight="1" x14ac:dyDescent="0.25">
      <c r="A14" s="30" t="s">
        <v>30</v>
      </c>
      <c r="B14" s="30" t="s">
        <v>153</v>
      </c>
      <c r="C14" s="30" t="s">
        <v>258</v>
      </c>
      <c r="D14" s="34" t="s">
        <v>472</v>
      </c>
      <c r="E14" s="1" t="s">
        <v>195</v>
      </c>
      <c r="F14" s="1" t="s">
        <v>260</v>
      </c>
      <c r="G14" s="9" t="s">
        <v>295</v>
      </c>
      <c r="H14" s="1" t="s">
        <v>154</v>
      </c>
      <c r="I14" s="1" t="s">
        <v>268</v>
      </c>
      <c r="J14" s="13" t="str">
        <f>HYPERLINK("mailto:JOH@ifu.dk","kif@klimainvesteringsfonden.dk")</f>
        <v>kif@klimainvesteringsfonden.dk</v>
      </c>
      <c r="K14" s="11" t="str">
        <f>HYPERLINK("https://www.ifu.dk/en/frontpage-english/","https://www.ifu.dk/en/frontpage-english/")</f>
        <v>https://www.ifu.dk/en/frontpage-english/</v>
      </c>
      <c r="L14" s="5"/>
    </row>
    <row r="15" spans="1:26" ht="66" customHeight="1" x14ac:dyDescent="0.25">
      <c r="A15" s="30" t="s">
        <v>30</v>
      </c>
      <c r="B15" s="30" t="s">
        <v>50</v>
      </c>
      <c r="C15" s="30" t="s">
        <v>50</v>
      </c>
      <c r="D15" s="34" t="s">
        <v>473</v>
      </c>
      <c r="E15" s="1" t="s">
        <v>195</v>
      </c>
      <c r="F15" s="1" t="s">
        <v>259</v>
      </c>
      <c r="G15" s="9" t="s">
        <v>295</v>
      </c>
      <c r="H15" s="1" t="s">
        <v>51</v>
      </c>
      <c r="I15" s="1" t="s">
        <v>52</v>
      </c>
      <c r="J15" s="2" t="str">
        <f>HYPERLINK("mailto:ifcjohannesburg@ifc.org","ifcjohannesburg@ifc.org")</f>
        <v>ifcjohannesburg@ifc.org</v>
      </c>
      <c r="K15" s="24" t="str">
        <f>HYPERLINK("http://www.ifc.org/wps/wcm/connect/REGION__EXT_Content/Regions/Sub-Saharan+Africa/","www.ifc.org//")</f>
        <v>www.ifc.org//</v>
      </c>
      <c r="L15" s="5"/>
    </row>
    <row r="16" spans="1:26" ht="66" customHeight="1" x14ac:dyDescent="0.25">
      <c r="A16" s="30" t="s">
        <v>30</v>
      </c>
      <c r="B16" s="30" t="s">
        <v>53</v>
      </c>
      <c r="C16" s="30"/>
      <c r="D16" s="34" t="s">
        <v>474</v>
      </c>
      <c r="E16" s="1" t="s">
        <v>8</v>
      </c>
      <c r="F16" s="1" t="s">
        <v>18</v>
      </c>
      <c r="G16" s="9" t="s">
        <v>389</v>
      </c>
      <c r="H16" s="1" t="s">
        <v>54</v>
      </c>
      <c r="I16" s="1" t="s">
        <v>55</v>
      </c>
      <c r="J16" s="2" t="str">
        <f>HYPERLINK("mailto:Nicole.Algio@reeep.org","Nicole.Algio@reeep.org")</f>
        <v>Nicole.Algio@reeep.org</v>
      </c>
      <c r="K16" s="11" t="str">
        <f>HYPERLINK("http://www.reeep.org/","www.reeep.org")</f>
        <v>www.reeep.org</v>
      </c>
      <c r="L16" s="5"/>
    </row>
    <row r="17" spans="1:12" ht="49.5" customHeight="1" x14ac:dyDescent="0.25">
      <c r="A17" s="30" t="s">
        <v>30</v>
      </c>
      <c r="B17" s="29" t="s">
        <v>57</v>
      </c>
      <c r="C17" s="29" t="s">
        <v>351</v>
      </c>
      <c r="D17" s="34" t="s">
        <v>352</v>
      </c>
      <c r="E17" s="1" t="s">
        <v>8</v>
      </c>
      <c r="F17" s="1" t="s">
        <v>282</v>
      </c>
      <c r="G17" s="9" t="s">
        <v>438</v>
      </c>
      <c r="H17" s="1" t="s">
        <v>302</v>
      </c>
      <c r="I17" s="1"/>
      <c r="J17" s="2" t="str">
        <f>HYPERLINK("mailto:J.Cunha@afdb.org","J.Cunha@afdb.org")</f>
        <v>J.Cunha@afdb.org</v>
      </c>
      <c r="K17" s="24" t="str">
        <f>HYPERLINK("http://www.afdb.org/en/topics-and-sectors/initiatives-partnerships/sustainable-energy-fund-for-africa/","www.afdb.org/")</f>
        <v>www.afdb.org/</v>
      </c>
      <c r="L17" s="5"/>
    </row>
    <row r="18" spans="1:12" ht="60.75" customHeight="1" x14ac:dyDescent="0.25">
      <c r="A18" s="30" t="s">
        <v>30</v>
      </c>
      <c r="B18" s="30" t="s">
        <v>57</v>
      </c>
      <c r="C18" s="30" t="s">
        <v>410</v>
      </c>
      <c r="D18" s="34" t="s">
        <v>475</v>
      </c>
      <c r="E18" s="1" t="s">
        <v>8</v>
      </c>
      <c r="F18" s="1" t="s">
        <v>282</v>
      </c>
      <c r="G18" s="9" t="s">
        <v>439</v>
      </c>
      <c r="H18" s="1" t="s">
        <v>302</v>
      </c>
      <c r="I18" s="1"/>
      <c r="J18" s="2" t="str">
        <f>HYPERLINK("mailto:J.Cunha@afdb.org","J.Cunha@afdb.org")</f>
        <v>J.Cunha@afdb.org</v>
      </c>
      <c r="K18" s="24" t="str">
        <f>HYPERLINK("http://www.afdb.org/en/topics-and-sectors/initiatives-partnerships/sustainable-energy-fund-for-africa/","www.afdb.org/")</f>
        <v>www.afdb.org/</v>
      </c>
      <c r="L18" s="5"/>
    </row>
    <row r="19" spans="1:12" ht="67.5" customHeight="1" x14ac:dyDescent="0.25">
      <c r="A19" s="30" t="s">
        <v>30</v>
      </c>
      <c r="B19" s="30" t="s">
        <v>58</v>
      </c>
      <c r="C19" s="30" t="s">
        <v>250</v>
      </c>
      <c r="D19" s="34" t="s">
        <v>476</v>
      </c>
      <c r="E19" s="1" t="s">
        <v>281</v>
      </c>
      <c r="F19" s="1" t="s">
        <v>18</v>
      </c>
      <c r="G19" s="1" t="s">
        <v>280</v>
      </c>
      <c r="H19" s="1" t="s">
        <v>59</v>
      </c>
      <c r="I19" s="1" t="s">
        <v>60</v>
      </c>
      <c r="J19" s="2" t="str">
        <f>HYPERLINK("mailto:Anele.Moyo@undp.org","Anele.Moyo@undp.org")</f>
        <v>Anele.Moyo@undp.org</v>
      </c>
      <c r="K19" s="11" t="str">
        <f>HYPERLINK("http://www.sgp.undp.org/","www.sgp.undp.org")</f>
        <v>www.sgp.undp.org</v>
      </c>
      <c r="L19" s="5"/>
    </row>
    <row r="20" spans="1:12" ht="77.25" customHeight="1" x14ac:dyDescent="0.25">
      <c r="A20" s="30" t="s">
        <v>30</v>
      </c>
      <c r="B20" s="30" t="s">
        <v>61</v>
      </c>
      <c r="C20" s="30" t="s">
        <v>272</v>
      </c>
      <c r="D20" s="34" t="s">
        <v>477</v>
      </c>
      <c r="E20" s="1" t="s">
        <v>281</v>
      </c>
      <c r="F20" s="1" t="s">
        <v>188</v>
      </c>
      <c r="G20" s="9"/>
      <c r="H20" s="1"/>
      <c r="I20" s="1"/>
      <c r="J20" s="1"/>
      <c r="K20" s="24" t="str">
        <f>HYPERLINK("http://treasury.worldbank.org/cmd/htm/WorldBankGreenBonds.html","http://treasury.worldbank.org/")</f>
        <v>http://treasury.worldbank.org/</v>
      </c>
      <c r="L20" s="5"/>
    </row>
    <row r="21" spans="1:12" ht="51.75" customHeight="1" x14ac:dyDescent="0.25">
      <c r="A21" s="30" t="s">
        <v>30</v>
      </c>
      <c r="B21" s="30" t="s">
        <v>61</v>
      </c>
      <c r="C21" s="30" t="s">
        <v>251</v>
      </c>
      <c r="D21" s="34" t="s">
        <v>478</v>
      </c>
      <c r="E21" s="1" t="s">
        <v>214</v>
      </c>
      <c r="F21" s="1" t="s">
        <v>198</v>
      </c>
      <c r="G21" s="9"/>
      <c r="H21" s="1" t="s">
        <v>171</v>
      </c>
      <c r="I21" s="1" t="s">
        <v>172</v>
      </c>
      <c r="J21" s="1" t="s">
        <v>173</v>
      </c>
      <c r="K21" s="24" t="str">
        <f>HYPERLINK("http://ida.worldbank.org/financing/replenishments/ida18-overview","http://ida.worldbank.org/financing/")</f>
        <v>http://ida.worldbank.org/financing/</v>
      </c>
      <c r="L21" s="5"/>
    </row>
    <row r="22" spans="1:12" ht="62.25" customHeight="1" x14ac:dyDescent="0.25">
      <c r="A22" s="94" t="s">
        <v>30</v>
      </c>
      <c r="B22" s="66" t="s">
        <v>411</v>
      </c>
      <c r="C22" s="76"/>
      <c r="D22" s="92" t="s">
        <v>436</v>
      </c>
      <c r="E22" s="77" t="s">
        <v>213</v>
      </c>
      <c r="F22" s="78" t="s">
        <v>412</v>
      </c>
      <c r="G22" s="77" t="s">
        <v>295</v>
      </c>
      <c r="H22" s="76"/>
      <c r="I22" s="79" t="s">
        <v>413</v>
      </c>
      <c r="J22" s="80" t="str">
        <f>HYPERLINK("info@landbank.co.za","info@landbank.co.za")</f>
        <v>info@landbank.co.za</v>
      </c>
      <c r="K22" s="80" t="str">
        <f>HYPERLINK("https://landbank.co.za/Products-and-Services/Pages/Products-and-Services.aspx","https://landbank.co.za/")</f>
        <v>https://landbank.co.za/</v>
      </c>
      <c r="L22" s="76"/>
    </row>
    <row r="23" spans="1:12" ht="65.25" customHeight="1" x14ac:dyDescent="0.25">
      <c r="A23" s="66" t="s">
        <v>30</v>
      </c>
      <c r="B23" s="66" t="s">
        <v>421</v>
      </c>
      <c r="C23" s="66" t="s">
        <v>422</v>
      </c>
      <c r="D23" s="92" t="s">
        <v>435</v>
      </c>
      <c r="E23" s="17" t="s">
        <v>335</v>
      </c>
      <c r="F23" s="17" t="s">
        <v>259</v>
      </c>
      <c r="G23" s="77" t="s">
        <v>423</v>
      </c>
      <c r="H23" s="76"/>
      <c r="I23" s="68" t="s">
        <v>424</v>
      </c>
      <c r="J23" s="80" t="str">
        <f>HYPERLINK("callcentre@idc.co.za","callcentre@idc.co.za")</f>
        <v>callcentre@idc.co.za</v>
      </c>
      <c r="K23" s="80" t="str">
        <f>HYPERLINK("https://www.idc.co.za/gro-e-youth-scheme/","https://www.idc.co.za/")</f>
        <v>https://www.idc.co.za/</v>
      </c>
      <c r="L23" s="76"/>
    </row>
  </sheetData>
  <autoFilter ref="A1:L23"/>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16"/>
  <sheetViews>
    <sheetView zoomScale="70" zoomScaleNormal="70" workbookViewId="0">
      <pane xSplit="2" ySplit="1" topLeftCell="C13" activePane="bottomRight" state="frozen"/>
      <selection pane="topRight" activeCell="C1" sqref="C1"/>
      <selection pane="bottomLeft" activeCell="A2" sqref="A2"/>
      <selection pane="bottomRight" activeCell="D16" sqref="D16"/>
    </sheetView>
  </sheetViews>
  <sheetFormatPr defaultColWidth="14.42578125" defaultRowHeight="15" x14ac:dyDescent="0.25"/>
  <cols>
    <col min="1" max="1" width="27" customWidth="1"/>
    <col min="2" max="3" width="25.42578125" customWidth="1"/>
    <col min="4" max="4" width="76" customWidth="1"/>
    <col min="5" max="5" width="27.28515625" customWidth="1"/>
    <col min="6" max="6" width="29.5703125" customWidth="1"/>
    <col min="7" max="7" width="24.7109375" customWidth="1"/>
    <col min="8" max="8" width="25.42578125" customWidth="1"/>
    <col min="9" max="9" width="24.85546875" customWidth="1"/>
    <col min="10" max="10" width="34.140625" customWidth="1"/>
    <col min="11" max="11" width="41.5703125" customWidth="1"/>
    <col min="12" max="12" width="24.5703125" customWidth="1"/>
    <col min="13" max="26" width="8.85546875" customWidth="1"/>
  </cols>
  <sheetData>
    <row r="1" spans="1:30" s="12" customFormat="1" ht="36.75" customHeight="1" x14ac:dyDescent="0.2">
      <c r="A1" s="54" t="s">
        <v>0</v>
      </c>
      <c r="B1" s="54" t="s">
        <v>1</v>
      </c>
      <c r="C1" s="54" t="s">
        <v>247</v>
      </c>
      <c r="D1" s="54" t="s">
        <v>249</v>
      </c>
      <c r="E1" s="54" t="s">
        <v>305</v>
      </c>
      <c r="F1" s="54" t="s">
        <v>271</v>
      </c>
      <c r="G1" s="54" t="s">
        <v>390</v>
      </c>
      <c r="H1" s="54" t="s">
        <v>2</v>
      </c>
      <c r="I1" s="54" t="s">
        <v>3</v>
      </c>
      <c r="J1" s="54" t="s">
        <v>4</v>
      </c>
      <c r="K1" s="54" t="s">
        <v>5</v>
      </c>
      <c r="L1" s="54" t="s">
        <v>191</v>
      </c>
      <c r="M1" s="3"/>
      <c r="N1" s="3"/>
      <c r="O1" s="3"/>
      <c r="P1" s="3"/>
      <c r="Q1" s="3"/>
      <c r="R1" s="3"/>
      <c r="S1" s="3"/>
      <c r="T1" s="3"/>
      <c r="U1" s="3"/>
      <c r="V1" s="3"/>
      <c r="W1" s="3"/>
      <c r="X1" s="3"/>
      <c r="Y1" s="3"/>
      <c r="Z1" s="3"/>
    </row>
    <row r="2" spans="1:30" s="12" customFormat="1" ht="65.25" customHeight="1" x14ac:dyDescent="0.2">
      <c r="A2" s="41" t="s">
        <v>6</v>
      </c>
      <c r="B2" s="41" t="s">
        <v>7</v>
      </c>
      <c r="C2" s="42" t="s">
        <v>235</v>
      </c>
      <c r="D2" s="40" t="s">
        <v>403</v>
      </c>
      <c r="E2" s="35" t="s">
        <v>8</v>
      </c>
      <c r="F2" s="35" t="s">
        <v>345</v>
      </c>
      <c r="G2" s="36" t="s">
        <v>360</v>
      </c>
      <c r="H2" s="35"/>
      <c r="I2" s="35" t="s">
        <v>9</v>
      </c>
      <c r="J2" s="37" t="str">
        <f>HYPERLINK("mailto:cebac@absa.co.za","cebac@absa.co.za")</f>
        <v>cebac@absa.co.za</v>
      </c>
      <c r="K2" s="38" t="str">
        <f>HYPERLINK("http://www.absa.co.za/","www.absa.co.za")</f>
        <v>www.absa.co.za</v>
      </c>
      <c r="L2" s="39" t="s">
        <v>196</v>
      </c>
      <c r="M2" s="18"/>
      <c r="N2" s="18"/>
      <c r="O2" s="3"/>
      <c r="P2" s="3"/>
      <c r="Q2" s="3"/>
      <c r="R2" s="3"/>
      <c r="S2" s="3"/>
      <c r="T2" s="3"/>
      <c r="U2" s="3"/>
      <c r="V2" s="3"/>
      <c r="W2" s="3"/>
      <c r="X2" s="3"/>
      <c r="Y2" s="3"/>
      <c r="Z2" s="3"/>
    </row>
    <row r="3" spans="1:30" s="12" customFormat="1" ht="45.75" customHeight="1" x14ac:dyDescent="0.2">
      <c r="A3" s="29" t="s">
        <v>6</v>
      </c>
      <c r="B3" s="29" t="s">
        <v>159</v>
      </c>
      <c r="C3" s="26" t="s">
        <v>303</v>
      </c>
      <c r="D3" s="19" t="s">
        <v>404</v>
      </c>
      <c r="E3" s="19" t="s">
        <v>317</v>
      </c>
      <c r="F3" s="19" t="s">
        <v>188</v>
      </c>
      <c r="G3" s="20" t="s">
        <v>365</v>
      </c>
      <c r="H3" s="19"/>
      <c r="I3" s="19" t="s">
        <v>160</v>
      </c>
      <c r="J3" s="19" t="s">
        <v>161</v>
      </c>
      <c r="K3" s="21" t="s">
        <v>162</v>
      </c>
      <c r="L3" s="17" t="s">
        <v>192</v>
      </c>
      <c r="M3" s="18"/>
      <c r="N3" s="18"/>
      <c r="O3" s="3"/>
      <c r="P3" s="3"/>
      <c r="Q3" s="3"/>
      <c r="R3" s="3"/>
      <c r="S3" s="3"/>
      <c r="T3" s="3"/>
      <c r="U3" s="3"/>
      <c r="V3" s="3"/>
      <c r="W3" s="3"/>
      <c r="X3" s="3"/>
      <c r="Y3" s="3"/>
      <c r="Z3" s="3"/>
    </row>
    <row r="4" spans="1:30" s="12" customFormat="1" ht="66.75" customHeight="1" x14ac:dyDescent="0.2">
      <c r="A4" s="29" t="s">
        <v>6</v>
      </c>
      <c r="B4" s="29" t="s">
        <v>10</v>
      </c>
      <c r="C4" s="26"/>
      <c r="D4" s="19" t="s">
        <v>346</v>
      </c>
      <c r="E4" s="1" t="s">
        <v>335</v>
      </c>
      <c r="F4" s="19" t="s">
        <v>188</v>
      </c>
      <c r="G4" s="20" t="s">
        <v>322</v>
      </c>
      <c r="H4" s="19"/>
      <c r="I4" s="19"/>
      <c r="J4" s="19" t="str">
        <f>HYPERLINK("mailto:info@grofin.com","info@grofin.com")</f>
        <v>info@grofin.com</v>
      </c>
      <c r="K4" s="61" t="str">
        <f>HYPERLINK("http://www.grofin.com/sme-finance-solutions/finance-for-your-business.aspx","www.grofin.com/")</f>
        <v>www.grofin.com/</v>
      </c>
      <c r="L4" s="17" t="s">
        <v>193</v>
      </c>
      <c r="M4" s="18"/>
      <c r="N4" s="18"/>
      <c r="O4" s="3"/>
      <c r="P4" s="3"/>
      <c r="Q4" s="3"/>
      <c r="R4" s="3"/>
      <c r="S4" s="3"/>
      <c r="T4" s="3"/>
      <c r="U4" s="3"/>
      <c r="V4" s="3"/>
      <c r="W4" s="3"/>
      <c r="X4" s="3"/>
      <c r="Y4" s="3"/>
      <c r="Z4" s="3"/>
    </row>
    <row r="5" spans="1:30" s="12" customFormat="1" ht="57.75" customHeight="1" x14ac:dyDescent="0.2">
      <c r="A5" s="29" t="s">
        <v>6</v>
      </c>
      <c r="B5" s="29" t="s">
        <v>11</v>
      </c>
      <c r="C5" s="29" t="s">
        <v>209</v>
      </c>
      <c r="D5" s="19" t="s">
        <v>194</v>
      </c>
      <c r="E5" s="19" t="s">
        <v>195</v>
      </c>
      <c r="F5" s="19" t="s">
        <v>259</v>
      </c>
      <c r="G5" s="20" t="s">
        <v>361</v>
      </c>
      <c r="H5" s="19" t="s">
        <v>12</v>
      </c>
      <c r="I5" s="19" t="s">
        <v>13</v>
      </c>
      <c r="J5" s="22" t="str">
        <f>HYPERLINK("mailto:Robert.Gecelter@investec.co.za","Robert.Gecelter@investec.co.za 
Fazel.Moosa@investec.co.za")</f>
        <v>Robert.Gecelter@investec.co.za 
Fazel.Moosa@investec.co.za</v>
      </c>
      <c r="K5" s="61" t="str">
        <f>HYPERLINK("http://www.investec.co.za/products-and-services/financing-and-lending/power--infrastructure-and-telecoms.html","www.investec.co.za/")</f>
        <v>www.investec.co.za/</v>
      </c>
      <c r="L5" s="17"/>
      <c r="M5" s="18"/>
      <c r="N5" s="18"/>
      <c r="O5" s="3"/>
      <c r="P5" s="3"/>
      <c r="Q5" s="3"/>
      <c r="R5" s="3"/>
      <c r="S5" s="3"/>
      <c r="T5" s="3"/>
      <c r="U5" s="3"/>
      <c r="V5" s="3"/>
      <c r="W5" s="3"/>
      <c r="X5" s="3"/>
      <c r="Y5" s="3"/>
      <c r="Z5" s="3"/>
    </row>
    <row r="6" spans="1:30" s="12" customFormat="1" ht="107.25" customHeight="1" x14ac:dyDescent="0.2">
      <c r="A6" s="30" t="s">
        <v>6</v>
      </c>
      <c r="B6" s="30" t="s">
        <v>14</v>
      </c>
      <c r="C6" s="30" t="s">
        <v>301</v>
      </c>
      <c r="D6" s="1" t="s">
        <v>300</v>
      </c>
      <c r="E6" s="1" t="s">
        <v>8</v>
      </c>
      <c r="F6" s="1" t="s">
        <v>188</v>
      </c>
      <c r="G6" s="9" t="s">
        <v>362</v>
      </c>
      <c r="H6" s="1" t="s">
        <v>15</v>
      </c>
      <c r="I6" s="1" t="s">
        <v>16</v>
      </c>
      <c r="J6" s="2" t="str">
        <f>HYPERLINK("mailto:PeterP@merchantwest.co.za","PeterP@merchantwest.co.za")</f>
        <v>PeterP@merchantwest.co.za</v>
      </c>
      <c r="K6" s="11" t="str">
        <f>HYPERLINK("http://www.merchantwest.co.za ","www.merchantwest.co.za ")</f>
        <v>www.merchantwest.co.za </v>
      </c>
      <c r="L6" s="17" t="s">
        <v>196</v>
      </c>
      <c r="M6" s="3"/>
      <c r="N6" s="3"/>
      <c r="O6" s="3"/>
      <c r="P6" s="3"/>
      <c r="Q6" s="3"/>
      <c r="R6" s="3"/>
      <c r="S6" s="3"/>
      <c r="T6" s="3"/>
      <c r="U6" s="3"/>
      <c r="V6" s="3"/>
      <c r="W6" s="3"/>
      <c r="X6" s="3"/>
      <c r="Y6" s="3"/>
      <c r="Z6" s="3"/>
    </row>
    <row r="7" spans="1:30" s="12" customFormat="1" ht="66.75" customHeight="1" x14ac:dyDescent="0.2">
      <c r="A7" s="29" t="s">
        <v>6</v>
      </c>
      <c r="B7" s="30" t="s">
        <v>17</v>
      </c>
      <c r="C7" s="30" t="s">
        <v>204</v>
      </c>
      <c r="D7" s="1" t="s">
        <v>205</v>
      </c>
      <c r="E7" s="1" t="s">
        <v>195</v>
      </c>
      <c r="F7" s="1" t="s">
        <v>18</v>
      </c>
      <c r="G7" s="20" t="s">
        <v>295</v>
      </c>
      <c r="H7" s="1"/>
      <c r="I7" s="1"/>
      <c r="J7" s="1" t="s">
        <v>158</v>
      </c>
      <c r="K7" s="24" t="str">
        <f>HYPERLINK("http://hoheisentrust.org/index.php","http://hoheisentrust.org/")</f>
        <v>http://hoheisentrust.org/</v>
      </c>
      <c r="L7" s="5"/>
      <c r="M7" s="3"/>
      <c r="N7" s="3"/>
      <c r="O7" s="3"/>
      <c r="P7" s="3"/>
      <c r="Q7" s="3"/>
      <c r="R7" s="3"/>
      <c r="S7" s="3"/>
      <c r="T7" s="3"/>
      <c r="U7" s="3"/>
      <c r="V7" s="3"/>
      <c r="W7" s="3"/>
      <c r="X7" s="3"/>
      <c r="Y7" s="3"/>
      <c r="Z7" s="3"/>
    </row>
    <row r="8" spans="1:30" s="12" customFormat="1" ht="58.5" customHeight="1" x14ac:dyDescent="0.2">
      <c r="A8" s="29" t="s">
        <v>6</v>
      </c>
      <c r="B8" s="30" t="s">
        <v>210</v>
      </c>
      <c r="C8" s="30" t="s">
        <v>206</v>
      </c>
      <c r="D8" s="1" t="s">
        <v>207</v>
      </c>
      <c r="E8" s="1" t="s">
        <v>335</v>
      </c>
      <c r="F8" s="1" t="s">
        <v>18</v>
      </c>
      <c r="G8" s="23" t="s">
        <v>363</v>
      </c>
      <c r="H8" s="1"/>
      <c r="I8" s="1" t="s">
        <v>19</v>
      </c>
      <c r="J8" s="1"/>
      <c r="K8" s="24" t="str">
        <f>HYPERLINK("https://www.wwf.org.za/wwf_nedbank_gt_funding.cfm","https://www.wwf.org.za/")</f>
        <v>https://www.wwf.org.za/</v>
      </c>
      <c r="L8" s="5" t="s">
        <v>208</v>
      </c>
      <c r="M8" s="3"/>
      <c r="N8" s="3"/>
      <c r="O8" s="3"/>
      <c r="P8" s="3"/>
      <c r="Q8" s="3"/>
      <c r="R8" s="3"/>
      <c r="S8" s="3"/>
      <c r="T8" s="3"/>
      <c r="U8" s="3"/>
      <c r="V8" s="3"/>
      <c r="W8" s="3"/>
      <c r="X8" s="3"/>
      <c r="Y8" s="3"/>
      <c r="Z8" s="3"/>
    </row>
    <row r="9" spans="1:30" s="12" customFormat="1" ht="68.25" customHeight="1" x14ac:dyDescent="0.2">
      <c r="A9" s="29" t="s">
        <v>6</v>
      </c>
      <c r="B9" s="30" t="s">
        <v>203</v>
      </c>
      <c r="C9" s="30" t="s">
        <v>202</v>
      </c>
      <c r="D9" s="1" t="s">
        <v>311</v>
      </c>
      <c r="E9" s="1" t="s">
        <v>195</v>
      </c>
      <c r="F9" s="1" t="s">
        <v>20</v>
      </c>
      <c r="G9" s="8" t="s">
        <v>295</v>
      </c>
      <c r="H9" s="1" t="s">
        <v>21</v>
      </c>
      <c r="I9" s="1" t="s">
        <v>22</v>
      </c>
      <c r="J9" s="2" t="str">
        <f>HYPERLINK("mailto:MMaponya@omigsa.com","MMaponya@omigsa.com")</f>
        <v>MMaponya@omigsa.com</v>
      </c>
      <c r="K9" s="11" t="str">
        <f>HYPERLINK("http://www.oldmutual.co.za/","www.oldmutual.co.za")</f>
        <v>www.oldmutual.co.za</v>
      </c>
      <c r="L9" s="5" t="s">
        <v>208</v>
      </c>
      <c r="M9" s="3"/>
      <c r="N9" s="3"/>
      <c r="O9" s="3"/>
      <c r="P9" s="3"/>
      <c r="Q9" s="3"/>
      <c r="R9" s="3"/>
      <c r="S9" s="3"/>
      <c r="T9" s="3"/>
      <c r="U9" s="3"/>
      <c r="V9" s="3"/>
      <c r="W9" s="3"/>
      <c r="X9" s="3"/>
      <c r="Y9" s="3"/>
      <c r="Z9" s="3"/>
    </row>
    <row r="10" spans="1:30" s="12" customFormat="1" ht="81.75" customHeight="1" x14ac:dyDescent="0.2">
      <c r="A10" s="29" t="s">
        <v>6</v>
      </c>
      <c r="B10" s="30" t="s">
        <v>200</v>
      </c>
      <c r="C10" s="30" t="s">
        <v>199</v>
      </c>
      <c r="D10" s="1" t="s">
        <v>253</v>
      </c>
      <c r="E10" s="1" t="s">
        <v>8</v>
      </c>
      <c r="F10" s="1" t="s">
        <v>198</v>
      </c>
      <c r="G10" s="9" t="s">
        <v>364</v>
      </c>
      <c r="H10" s="1" t="s">
        <v>174</v>
      </c>
      <c r="I10" s="1" t="s">
        <v>175</v>
      </c>
      <c r="J10" s="1" t="s">
        <v>176</v>
      </c>
      <c r="K10" s="13" t="s">
        <v>177</v>
      </c>
      <c r="L10" s="17" t="s">
        <v>196</v>
      </c>
      <c r="M10" s="3"/>
      <c r="N10" s="3"/>
      <c r="O10" s="3"/>
      <c r="P10" s="3"/>
      <c r="Q10" s="3"/>
      <c r="R10" s="3"/>
      <c r="S10" s="3"/>
      <c r="T10" s="3"/>
      <c r="U10" s="3"/>
      <c r="V10" s="3"/>
      <c r="W10" s="3"/>
      <c r="X10" s="3"/>
      <c r="Y10" s="3"/>
      <c r="Z10" s="3"/>
    </row>
    <row r="11" spans="1:30" s="12" customFormat="1" ht="75.75" customHeight="1" x14ac:dyDescent="0.2">
      <c r="A11" s="30" t="s">
        <v>6</v>
      </c>
      <c r="B11" s="30" t="s">
        <v>23</v>
      </c>
      <c r="C11" s="30"/>
      <c r="D11" s="1" t="s">
        <v>254</v>
      </c>
      <c r="E11" s="1" t="s">
        <v>8</v>
      </c>
      <c r="F11" s="1" t="s">
        <v>285</v>
      </c>
      <c r="G11" s="9" t="s">
        <v>295</v>
      </c>
      <c r="H11" s="1" t="s">
        <v>24</v>
      </c>
      <c r="I11" s="1" t="s">
        <v>25</v>
      </c>
      <c r="J11" s="2" t="str">
        <f>HYPERLINK("mailto:Candice.Pretorius@sunlyn.co.za","Candice.Pretorius@sunlyn.co.za")</f>
        <v>Candice.Pretorius@sunlyn.co.za</v>
      </c>
      <c r="K11" s="24" t="str">
        <f>HYPERLINK("http://www.sasfin.com/divisions/business/equipment-finance/eco-finance/","www.sasfin.com/")</f>
        <v>www.sasfin.com/</v>
      </c>
      <c r="L11" s="5"/>
      <c r="M11" s="3"/>
      <c r="N11" s="3"/>
      <c r="O11" s="3"/>
      <c r="P11" s="3"/>
      <c r="Q11" s="3"/>
      <c r="R11" s="3"/>
      <c r="S11" s="3"/>
      <c r="T11" s="3"/>
      <c r="U11" s="3"/>
      <c r="V11" s="3"/>
      <c r="W11" s="3"/>
      <c r="X11" s="3"/>
      <c r="Y11" s="3"/>
      <c r="Z11" s="3"/>
    </row>
    <row r="12" spans="1:30" s="12" customFormat="1" ht="106.5" customHeight="1" x14ac:dyDescent="0.2">
      <c r="A12" s="29" t="s">
        <v>6</v>
      </c>
      <c r="B12" s="30" t="s">
        <v>26</v>
      </c>
      <c r="C12" s="30"/>
      <c r="D12" s="1" t="s">
        <v>255</v>
      </c>
      <c r="E12" s="1" t="s">
        <v>195</v>
      </c>
      <c r="F12" s="1" t="s">
        <v>188</v>
      </c>
      <c r="G12" s="9" t="s">
        <v>405</v>
      </c>
      <c r="H12" s="1" t="s">
        <v>27</v>
      </c>
      <c r="I12" s="1" t="s">
        <v>28</v>
      </c>
      <c r="J12" s="2" t="str">
        <f>HYPERLINK("mailto:Vonani@scfcap.com","Vonani@scfcap.com")</f>
        <v>Vonani@scfcap.com</v>
      </c>
      <c r="K12" s="11" t="str">
        <f>HYPERLINK("http://www.scfcap.com/","www.scfcap.com/")</f>
        <v>www.scfcap.com/</v>
      </c>
      <c r="L12" s="5" t="s">
        <v>256</v>
      </c>
      <c r="M12" s="3"/>
      <c r="N12" s="3"/>
      <c r="O12" s="3"/>
      <c r="P12" s="3"/>
      <c r="Q12" s="3"/>
      <c r="R12" s="3"/>
      <c r="S12" s="3"/>
      <c r="T12" s="3"/>
      <c r="U12" s="3"/>
      <c r="V12" s="3"/>
      <c r="W12" s="3"/>
      <c r="X12" s="3"/>
      <c r="Y12" s="3"/>
      <c r="Z12" s="3"/>
    </row>
    <row r="13" spans="1:30" s="12" customFormat="1" ht="80.25" customHeight="1" x14ac:dyDescent="0.2">
      <c r="A13" s="30" t="s">
        <v>6</v>
      </c>
      <c r="B13" s="30" t="s">
        <v>29</v>
      </c>
      <c r="C13" s="30"/>
      <c r="D13" s="1" t="s">
        <v>318</v>
      </c>
      <c r="E13" s="1" t="s">
        <v>8</v>
      </c>
      <c r="F13" s="1" t="s">
        <v>188</v>
      </c>
      <c r="G13" s="9" t="s">
        <v>295</v>
      </c>
      <c r="H13" s="1"/>
      <c r="I13" s="1"/>
      <c r="J13" s="1"/>
      <c r="K13" s="11" t="str">
        <f>HYPERLINK("http://www.standardbank.co.za/","www.standardbank.co.za")</f>
        <v>www.standardbank.co.za</v>
      </c>
      <c r="L13" s="5" t="s">
        <v>319</v>
      </c>
      <c r="M13" s="3"/>
      <c r="N13" s="3"/>
      <c r="O13" s="3"/>
      <c r="P13" s="3"/>
      <c r="Q13" s="3"/>
      <c r="R13" s="3"/>
      <c r="S13" s="3"/>
      <c r="T13" s="3"/>
      <c r="U13" s="3"/>
      <c r="V13" s="3"/>
      <c r="W13" s="3"/>
      <c r="X13" s="3"/>
      <c r="Y13" s="3"/>
      <c r="Z13" s="3"/>
    </row>
    <row r="14" spans="1:30" s="12" customFormat="1" ht="84" customHeight="1" x14ac:dyDescent="0.2">
      <c r="A14" s="30" t="s">
        <v>316</v>
      </c>
      <c r="B14" s="30" t="s">
        <v>185</v>
      </c>
      <c r="C14" s="30" t="s">
        <v>245</v>
      </c>
      <c r="D14" s="1" t="s">
        <v>315</v>
      </c>
      <c r="E14" s="1" t="s">
        <v>295</v>
      </c>
      <c r="F14" s="1" t="s">
        <v>188</v>
      </c>
      <c r="G14" s="9" t="s">
        <v>295</v>
      </c>
      <c r="H14" s="16"/>
      <c r="I14" s="7" t="s">
        <v>409</v>
      </c>
      <c r="J14" s="1"/>
      <c r="K14" s="24" t="s">
        <v>187</v>
      </c>
      <c r="L14" s="58"/>
      <c r="P14" s="3"/>
      <c r="Q14" s="3"/>
      <c r="R14" s="3"/>
      <c r="S14" s="3"/>
      <c r="T14" s="3"/>
      <c r="U14" s="3"/>
      <c r="V14" s="3"/>
      <c r="W14" s="3"/>
      <c r="X14" s="3"/>
      <c r="Y14" s="3"/>
      <c r="Z14" s="3"/>
      <c r="AA14" s="3"/>
      <c r="AB14" s="3"/>
      <c r="AC14" s="3"/>
      <c r="AD14" s="3"/>
    </row>
    <row r="15" spans="1:30" s="102" customFormat="1" ht="111.75" customHeight="1" x14ac:dyDescent="0.25">
      <c r="A15" s="95" t="s">
        <v>6</v>
      </c>
      <c r="B15" s="96" t="s">
        <v>414</v>
      </c>
      <c r="C15" s="97" t="s">
        <v>415</v>
      </c>
      <c r="D15" s="98" t="s">
        <v>479</v>
      </c>
      <c r="E15" s="98" t="s">
        <v>295</v>
      </c>
      <c r="F15" s="99" t="s">
        <v>416</v>
      </c>
      <c r="G15" s="96" t="s">
        <v>295</v>
      </c>
      <c r="H15" s="100"/>
      <c r="I15" s="100"/>
      <c r="J15" s="100"/>
      <c r="K15" s="101" t="str">
        <f>HYPERLINK("https://www.statebank.co.za/p-85/working-capital-finance","https://www.statebank.co.za/")</f>
        <v>https://www.statebank.co.za/</v>
      </c>
      <c r="L15" s="100"/>
    </row>
    <row r="16" spans="1:30" s="102" customFormat="1" ht="96.75" customHeight="1" x14ac:dyDescent="0.25">
      <c r="A16" s="77" t="s">
        <v>6</v>
      </c>
      <c r="B16" s="66" t="s">
        <v>417</v>
      </c>
      <c r="C16" s="66" t="s">
        <v>415</v>
      </c>
      <c r="D16" s="103" t="s">
        <v>418</v>
      </c>
      <c r="E16" s="77" t="s">
        <v>295</v>
      </c>
      <c r="F16" s="77" t="s">
        <v>419</v>
      </c>
      <c r="G16" s="77" t="s">
        <v>295</v>
      </c>
      <c r="H16" s="76"/>
      <c r="I16" s="68" t="s">
        <v>420</v>
      </c>
      <c r="J16" s="76"/>
      <c r="K16" s="80" t="str">
        <f>HYPERLINK("https://www.business.hsbc.co.za/en-gb/capability/working-capital","https://www.business.hsbc.co.za/")</f>
        <v>https://www.business.hsbc.co.za/</v>
      </c>
      <c r="L16" s="76"/>
    </row>
  </sheetData>
  <autoFilter ref="A1:L16"/>
  <hyperlinks>
    <hyperlink ref="K10" r:id="rId1"/>
    <hyperlink ref="K1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Z13"/>
  <sheetViews>
    <sheetView zoomScale="80" zoomScaleNormal="80" workbookViewId="0">
      <pane xSplit="1" ySplit="1" topLeftCell="C2" activePane="bottomRight" state="frozen"/>
      <selection pane="topRight" activeCell="B1" sqref="B1"/>
      <selection pane="bottomLeft" activeCell="A2" sqref="A2"/>
      <selection pane="bottomRight" activeCell="D5" sqref="D5"/>
    </sheetView>
  </sheetViews>
  <sheetFormatPr defaultColWidth="14.42578125" defaultRowHeight="15" x14ac:dyDescent="0.25"/>
  <cols>
    <col min="1" max="1" width="27" customWidth="1"/>
    <col min="2" max="2" width="25.42578125" customWidth="1"/>
    <col min="3" max="3" width="28" customWidth="1"/>
    <col min="4" max="4" width="83.42578125" customWidth="1"/>
    <col min="5" max="5" width="27.28515625" customWidth="1"/>
    <col min="6" max="6" width="29.5703125" customWidth="1"/>
    <col min="7" max="7" width="24.7109375" customWidth="1"/>
    <col min="8" max="8" width="25.42578125" customWidth="1"/>
    <col min="9" max="9" width="24.85546875" customWidth="1"/>
    <col min="10" max="10" width="34.140625" customWidth="1"/>
    <col min="11" max="11" width="41.5703125" customWidth="1"/>
    <col min="12" max="12" width="24.5703125" style="65" customWidth="1"/>
    <col min="13" max="13" width="8.85546875" style="65" customWidth="1"/>
    <col min="14" max="26" width="8.85546875" customWidth="1"/>
  </cols>
  <sheetData>
    <row r="1" spans="1:26" s="12" customFormat="1" ht="36.75" customHeight="1" x14ac:dyDescent="0.2">
      <c r="A1" s="54" t="s">
        <v>0</v>
      </c>
      <c r="B1" s="54" t="s">
        <v>1</v>
      </c>
      <c r="C1" s="54" t="s">
        <v>247</v>
      </c>
      <c r="D1" s="54" t="s">
        <v>249</v>
      </c>
      <c r="E1" s="54" t="s">
        <v>305</v>
      </c>
      <c r="F1" s="54" t="s">
        <v>271</v>
      </c>
      <c r="G1" s="54" t="s">
        <v>390</v>
      </c>
      <c r="H1" s="54" t="s">
        <v>2</v>
      </c>
      <c r="I1" s="54" t="s">
        <v>3</v>
      </c>
      <c r="J1" s="54" t="s">
        <v>4</v>
      </c>
      <c r="K1" s="54" t="s">
        <v>5</v>
      </c>
      <c r="L1" s="54" t="s">
        <v>191</v>
      </c>
      <c r="M1" s="44"/>
      <c r="N1" s="3"/>
      <c r="O1" s="3"/>
      <c r="P1" s="3"/>
      <c r="Q1" s="3"/>
      <c r="R1" s="3"/>
      <c r="S1" s="3"/>
      <c r="T1" s="3"/>
      <c r="U1" s="3"/>
      <c r="V1" s="3"/>
      <c r="W1" s="3"/>
      <c r="X1" s="3"/>
      <c r="Y1" s="3"/>
      <c r="Z1" s="3"/>
    </row>
    <row r="2" spans="1:26" s="12" customFormat="1" ht="101.25" customHeight="1" x14ac:dyDescent="0.2">
      <c r="A2" s="47" t="s">
        <v>108</v>
      </c>
      <c r="B2" s="47" t="s">
        <v>179</v>
      </c>
      <c r="C2" s="47"/>
      <c r="D2" s="48" t="s">
        <v>452</v>
      </c>
      <c r="E2" s="48" t="s">
        <v>8</v>
      </c>
      <c r="F2" s="48" t="s">
        <v>20</v>
      </c>
      <c r="G2" s="48" t="s">
        <v>295</v>
      </c>
      <c r="H2" s="48"/>
      <c r="I2" s="48"/>
      <c r="J2" s="49" t="s">
        <v>180</v>
      </c>
      <c r="K2" s="52" t="s">
        <v>181</v>
      </c>
      <c r="L2" s="5"/>
      <c r="M2" s="44"/>
      <c r="N2" s="3"/>
      <c r="O2" s="3"/>
      <c r="P2" s="3"/>
      <c r="Q2" s="3"/>
      <c r="R2" s="3"/>
      <c r="S2" s="3"/>
      <c r="T2" s="3"/>
      <c r="U2" s="3"/>
      <c r="V2" s="3"/>
      <c r="W2" s="3"/>
      <c r="X2" s="3"/>
      <c r="Y2" s="3"/>
      <c r="Z2" s="3"/>
    </row>
    <row r="3" spans="1:26" s="12" customFormat="1" ht="90.75" customHeight="1" x14ac:dyDescent="0.2">
      <c r="A3" s="30" t="s">
        <v>108</v>
      </c>
      <c r="B3" s="30" t="s">
        <v>109</v>
      </c>
      <c r="C3" s="30"/>
      <c r="D3" s="1" t="s">
        <v>382</v>
      </c>
      <c r="E3" s="1" t="s">
        <v>381</v>
      </c>
      <c r="F3" s="1" t="s">
        <v>20</v>
      </c>
      <c r="G3" s="1" t="s">
        <v>295</v>
      </c>
      <c r="H3" s="1"/>
      <c r="I3" s="1"/>
      <c r="J3" s="2" t="str">
        <f>HYPERLINK("mailto:info@adlevocapital.com","info@adlevocapital.com")</f>
        <v>info@adlevocapital.com</v>
      </c>
      <c r="K3" s="11" t="str">
        <f>HYPERLINK("http://www.adlevocapital.com/ourpeople.html","www.adlevocapital.com/ourpeople.html")</f>
        <v>www.adlevocapital.com/ourpeople.html</v>
      </c>
      <c r="L3" s="5"/>
      <c r="M3" s="44"/>
      <c r="N3" s="3"/>
      <c r="O3" s="3"/>
      <c r="P3" s="3"/>
      <c r="Q3" s="3"/>
      <c r="R3" s="3"/>
      <c r="S3" s="3"/>
      <c r="T3" s="3"/>
      <c r="U3" s="3"/>
      <c r="V3" s="3"/>
      <c r="W3" s="3"/>
      <c r="X3" s="3"/>
      <c r="Y3" s="3"/>
      <c r="Z3" s="3"/>
    </row>
    <row r="4" spans="1:26" s="12" customFormat="1" ht="77.25" customHeight="1" x14ac:dyDescent="0.2">
      <c r="A4" s="30" t="s">
        <v>108</v>
      </c>
      <c r="B4" s="30" t="s">
        <v>110</v>
      </c>
      <c r="C4" s="30"/>
      <c r="D4" s="1" t="s">
        <v>375</v>
      </c>
      <c r="E4" s="1" t="s">
        <v>335</v>
      </c>
      <c r="F4" s="1" t="s">
        <v>188</v>
      </c>
      <c r="G4" s="9" t="s">
        <v>358</v>
      </c>
      <c r="H4" s="1"/>
      <c r="I4" s="1" t="s">
        <v>111</v>
      </c>
      <c r="J4" s="1" t="s">
        <v>112</v>
      </c>
      <c r="K4" s="11" t="str">
        <f>HYPERLINK("http://www.atlanticam.com/","www.atlanticam.com/")</f>
        <v>www.atlanticam.com/</v>
      </c>
      <c r="L4" s="5"/>
      <c r="M4" s="44"/>
      <c r="N4" s="3"/>
      <c r="O4" s="3"/>
      <c r="P4" s="3"/>
      <c r="Q4" s="3"/>
      <c r="R4" s="3"/>
      <c r="S4" s="3"/>
      <c r="T4" s="3"/>
      <c r="U4" s="3"/>
      <c r="V4" s="3"/>
      <c r="W4" s="3"/>
      <c r="X4" s="3"/>
      <c r="Y4" s="3"/>
      <c r="Z4" s="3"/>
    </row>
    <row r="5" spans="1:26" s="12" customFormat="1" ht="109.5" customHeight="1" x14ac:dyDescent="0.2">
      <c r="A5" s="30" t="s">
        <v>108</v>
      </c>
      <c r="B5" s="30" t="s">
        <v>113</v>
      </c>
      <c r="C5" s="30"/>
      <c r="D5" s="1" t="s">
        <v>450</v>
      </c>
      <c r="E5" s="1" t="s">
        <v>335</v>
      </c>
      <c r="F5" s="1" t="s">
        <v>259</v>
      </c>
      <c r="G5" s="9" t="s">
        <v>449</v>
      </c>
      <c r="H5" s="1" t="s">
        <v>114</v>
      </c>
      <c r="I5" s="1" t="s">
        <v>115</v>
      </c>
      <c r="J5" s="2" t="str">
        <f>HYPERLINK("mailto:enquiries@businesspartners.co.za","enquiries@businesspartners.co.za")</f>
        <v>enquiries@businesspartners.co.za</v>
      </c>
      <c r="K5" s="11" t="str">
        <f>HYPERLINK("http://www.businesspartners.co.za/","www.businesspartners.co.za")</f>
        <v>www.businesspartners.co.za</v>
      </c>
      <c r="L5" s="5"/>
      <c r="M5" s="44"/>
      <c r="N5" s="3"/>
      <c r="O5" s="3"/>
      <c r="P5" s="3"/>
      <c r="Q5" s="3"/>
      <c r="R5" s="3"/>
      <c r="S5" s="3"/>
      <c r="T5" s="3"/>
      <c r="U5" s="3"/>
      <c r="V5" s="3"/>
      <c r="W5" s="3"/>
      <c r="X5" s="3"/>
      <c r="Y5" s="3"/>
      <c r="Z5" s="3"/>
    </row>
    <row r="6" spans="1:26" s="12" customFormat="1" ht="145.5" customHeight="1" x14ac:dyDescent="0.2">
      <c r="A6" s="30" t="s">
        <v>108</v>
      </c>
      <c r="B6" s="30" t="s">
        <v>116</v>
      </c>
      <c r="C6" s="30" t="s">
        <v>308</v>
      </c>
      <c r="D6" s="1" t="s">
        <v>379</v>
      </c>
      <c r="E6" s="1" t="s">
        <v>8</v>
      </c>
      <c r="F6" s="1" t="s">
        <v>20</v>
      </c>
      <c r="G6" s="9" t="s">
        <v>383</v>
      </c>
      <c r="H6" s="1" t="s">
        <v>117</v>
      </c>
      <c r="I6" s="1" t="s">
        <v>118</v>
      </c>
      <c r="J6" s="2" t="str">
        <f>HYPERLINK("mailto:Chris@inspiredevolution.co.za","Chris@inspiredevolution.co.za")</f>
        <v>Chris@inspiredevolution.co.za</v>
      </c>
      <c r="K6" s="11" t="str">
        <f>HYPERLINK("http://www.inspiredevolution.co.za/","www.inspiredevolution.co.za")</f>
        <v>www.inspiredevolution.co.za</v>
      </c>
      <c r="L6" s="5"/>
      <c r="M6" s="44"/>
      <c r="N6" s="3"/>
      <c r="O6" s="3"/>
      <c r="P6" s="3"/>
      <c r="Q6" s="3"/>
      <c r="R6" s="3"/>
      <c r="S6" s="3"/>
      <c r="T6" s="3"/>
      <c r="U6" s="3"/>
      <c r="V6" s="3"/>
      <c r="W6" s="3"/>
      <c r="X6" s="3"/>
      <c r="Y6" s="3"/>
      <c r="Z6" s="3"/>
    </row>
    <row r="7" spans="1:26" s="12" customFormat="1" ht="108" customHeight="1" x14ac:dyDescent="0.2">
      <c r="A7" s="30" t="s">
        <v>108</v>
      </c>
      <c r="B7" s="30" t="s">
        <v>119</v>
      </c>
      <c r="C7" s="30"/>
      <c r="D7" s="1" t="s">
        <v>376</v>
      </c>
      <c r="E7" s="1" t="s">
        <v>8</v>
      </c>
      <c r="F7" s="1" t="s">
        <v>259</v>
      </c>
      <c r="G7" s="1" t="s">
        <v>295</v>
      </c>
      <c r="H7" s="1"/>
      <c r="I7" s="1"/>
      <c r="J7" s="2" t="str">
        <f>HYPERLINK("mailto:info@persistentnrg.com","info@persistentnrg.com")</f>
        <v>info@persistentnrg.com</v>
      </c>
      <c r="K7" s="11" t="str">
        <f>HYPERLINK("http://www.persistentenergypartners.com/","www.persistentenergypartners.com")</f>
        <v>www.persistentenergypartners.com</v>
      </c>
      <c r="L7" s="5"/>
      <c r="M7" s="44"/>
      <c r="N7" s="3"/>
      <c r="O7" s="3"/>
      <c r="P7" s="3"/>
      <c r="Q7" s="3"/>
      <c r="R7" s="3"/>
      <c r="S7" s="3"/>
      <c r="T7" s="3"/>
      <c r="U7" s="3"/>
      <c r="V7" s="3"/>
      <c r="W7" s="3"/>
      <c r="X7" s="3"/>
      <c r="Y7" s="3"/>
      <c r="Z7" s="3"/>
    </row>
    <row r="8" spans="1:26" s="12" customFormat="1" ht="129" customHeight="1" x14ac:dyDescent="0.2">
      <c r="A8" s="30" t="s">
        <v>108</v>
      </c>
      <c r="B8" s="30" t="s">
        <v>120</v>
      </c>
      <c r="C8" s="30"/>
      <c r="D8" s="1" t="s">
        <v>377</v>
      </c>
      <c r="E8" s="1" t="s">
        <v>335</v>
      </c>
      <c r="F8" s="1" t="s">
        <v>259</v>
      </c>
      <c r="G8" s="9" t="s">
        <v>359</v>
      </c>
      <c r="H8" s="1" t="s">
        <v>121</v>
      </c>
      <c r="I8" s="1" t="s">
        <v>122</v>
      </c>
      <c r="J8" s="2" t="str">
        <f>HYPERLINK("mailto:Thato@senatlacapital.com","Thato@senatlacapital.com")</f>
        <v>Thato@senatlacapital.com</v>
      </c>
      <c r="K8" s="11" t="str">
        <f>HYPERLINK("http://www.senatlacapital.com/","www.senatlacapital.com/")</f>
        <v>www.senatlacapital.com/</v>
      </c>
      <c r="L8" s="5"/>
      <c r="M8" s="44"/>
      <c r="N8" s="3"/>
      <c r="O8" s="3"/>
      <c r="P8" s="3"/>
      <c r="Q8" s="3"/>
      <c r="R8" s="3"/>
      <c r="S8" s="3"/>
      <c r="T8" s="3"/>
      <c r="U8" s="3"/>
      <c r="V8" s="3"/>
      <c r="W8" s="3"/>
      <c r="X8" s="3"/>
      <c r="Y8" s="3"/>
      <c r="Z8" s="3"/>
    </row>
    <row r="9" spans="1:26" s="12" customFormat="1" ht="135" customHeight="1" x14ac:dyDescent="0.2">
      <c r="A9" s="30" t="s">
        <v>108</v>
      </c>
      <c r="B9" s="30" t="s">
        <v>182</v>
      </c>
      <c r="C9" s="30"/>
      <c r="D9" s="1" t="s">
        <v>380</v>
      </c>
      <c r="E9" s="1" t="s">
        <v>8</v>
      </c>
      <c r="F9" s="1" t="s">
        <v>20</v>
      </c>
      <c r="G9" s="1" t="s">
        <v>295</v>
      </c>
      <c r="H9" s="1"/>
      <c r="I9" s="33" t="s">
        <v>357</v>
      </c>
      <c r="J9" s="2" t="s">
        <v>184</v>
      </c>
      <c r="K9" s="11" t="s">
        <v>183</v>
      </c>
      <c r="L9" s="5"/>
      <c r="M9" s="44"/>
      <c r="N9" s="3"/>
      <c r="O9" s="3"/>
      <c r="P9" s="3"/>
      <c r="Q9" s="3"/>
      <c r="R9" s="3"/>
      <c r="S9" s="3"/>
      <c r="T9" s="3"/>
      <c r="U9" s="3"/>
      <c r="V9" s="3"/>
      <c r="W9" s="3"/>
      <c r="X9" s="3"/>
      <c r="Y9" s="3"/>
      <c r="Z9" s="3"/>
    </row>
    <row r="10" spans="1:26" s="12" customFormat="1" ht="65.25" customHeight="1" x14ac:dyDescent="0.2">
      <c r="A10" s="30" t="s">
        <v>108</v>
      </c>
      <c r="B10" s="30" t="s">
        <v>123</v>
      </c>
      <c r="C10" s="30"/>
      <c r="D10" s="1" t="s">
        <v>378</v>
      </c>
      <c r="E10" s="1" t="s">
        <v>335</v>
      </c>
      <c r="F10" s="1" t="s">
        <v>20</v>
      </c>
      <c r="G10" s="1" t="s">
        <v>295</v>
      </c>
      <c r="H10" s="1"/>
      <c r="I10" s="1"/>
      <c r="J10" s="1"/>
      <c r="K10" s="11" t="str">
        <f>HYPERLINK("http://www.treacle.co.za/","www.treacle.co.za/")</f>
        <v>www.treacle.co.za/</v>
      </c>
      <c r="L10" s="5"/>
      <c r="M10" s="44"/>
      <c r="N10" s="3"/>
      <c r="O10" s="3"/>
      <c r="P10" s="3"/>
      <c r="Q10" s="3"/>
      <c r="R10" s="3"/>
      <c r="S10" s="3"/>
      <c r="T10" s="3"/>
      <c r="U10" s="3"/>
      <c r="V10" s="3"/>
      <c r="W10" s="3"/>
      <c r="X10" s="3"/>
      <c r="Y10" s="3"/>
      <c r="Z10" s="3"/>
    </row>
    <row r="11" spans="1:26" s="12" customFormat="1" ht="96.75" customHeight="1" x14ac:dyDescent="0.2">
      <c r="A11" s="31" t="s">
        <v>108</v>
      </c>
      <c r="B11" s="31" t="s">
        <v>124</v>
      </c>
      <c r="C11" s="31"/>
      <c r="D11" s="4" t="s">
        <v>125</v>
      </c>
      <c r="E11" s="4" t="s">
        <v>335</v>
      </c>
      <c r="F11" s="4" t="s">
        <v>20</v>
      </c>
      <c r="G11" s="1" t="s">
        <v>295</v>
      </c>
      <c r="H11" s="4"/>
      <c r="I11" s="4"/>
      <c r="J11" s="43" t="str">
        <f>HYPERLINK("mailto:info@trivest.co.za","info@trivest.co.za")</f>
        <v>info@trivest.co.za</v>
      </c>
      <c r="K11" s="45" t="str">
        <f>HYPERLINK("http://www.trivest.co.za/AboutUs/Introduction.aspx","www.trivest.co.za/AboutUs/Introduction.aspx")</f>
        <v>www.trivest.co.za/AboutUs/Introduction.aspx</v>
      </c>
      <c r="L11" s="5"/>
      <c r="M11" s="44"/>
      <c r="N11" s="3"/>
      <c r="O11" s="3"/>
      <c r="P11" s="3"/>
      <c r="Q11" s="3"/>
      <c r="R11" s="3"/>
      <c r="S11" s="3"/>
      <c r="T11" s="3"/>
      <c r="U11" s="3"/>
      <c r="V11" s="3"/>
      <c r="W11" s="3"/>
      <c r="X11" s="3"/>
      <c r="Y11" s="3"/>
      <c r="Z11" s="3"/>
    </row>
    <row r="12" spans="1:26" s="12" customFormat="1" ht="197.25" customHeight="1" x14ac:dyDescent="0.2">
      <c r="A12" s="32" t="s">
        <v>108</v>
      </c>
      <c r="B12" s="32" t="s">
        <v>306</v>
      </c>
      <c r="C12" s="32"/>
      <c r="D12" s="5" t="s">
        <v>451</v>
      </c>
      <c r="E12" s="5" t="s">
        <v>213</v>
      </c>
      <c r="F12" s="5" t="s">
        <v>20</v>
      </c>
      <c r="G12" s="1" t="s">
        <v>295</v>
      </c>
      <c r="H12" s="5" t="s">
        <v>71</v>
      </c>
      <c r="I12" s="5" t="s">
        <v>169</v>
      </c>
      <c r="J12" s="5" t="s">
        <v>170</v>
      </c>
      <c r="K12" s="62" t="str">
        <f>HYPERLINK("http://uff.co.za/","http://uff.co.za/")</f>
        <v>http://uff.co.za/</v>
      </c>
      <c r="L12" s="5"/>
      <c r="M12" s="44"/>
      <c r="N12" s="3"/>
      <c r="O12" s="3"/>
      <c r="P12" s="3"/>
      <c r="Q12" s="3"/>
      <c r="R12" s="3"/>
      <c r="S12" s="3"/>
      <c r="T12" s="3"/>
      <c r="U12" s="3"/>
      <c r="V12" s="3"/>
      <c r="W12" s="3"/>
      <c r="X12" s="3"/>
      <c r="Y12" s="3"/>
      <c r="Z12" s="3"/>
    </row>
    <row r="13" spans="1:26" ht="25.5" x14ac:dyDescent="0.25">
      <c r="A13" s="32" t="s">
        <v>108</v>
      </c>
      <c r="B13" s="30" t="s">
        <v>157</v>
      </c>
      <c r="C13" s="30"/>
      <c r="D13" s="1" t="s">
        <v>314</v>
      </c>
      <c r="E13" s="1" t="s">
        <v>8</v>
      </c>
      <c r="F13" s="1" t="s">
        <v>82</v>
      </c>
      <c r="G13" s="9"/>
      <c r="H13" s="1"/>
      <c r="I13" s="1"/>
      <c r="J13" s="13" t="str">
        <f>HYPERLINK("http://cti-pfan.net/contact-us/","http://cti-pfan.net/contact-us/")</f>
        <v>http://cti-pfan.net/contact-us/</v>
      </c>
      <c r="K13" s="24" t="str">
        <f>HYPERLINK("http://cti-pfan.net/contact-us/","http://cti-pfan.net/")</f>
        <v>http://cti-pfan.net/</v>
      </c>
      <c r="L13" s="5"/>
      <c r="M13" s="44"/>
    </row>
  </sheetData>
  <autoFilter ref="A1:L13"/>
  <hyperlinks>
    <hyperlink ref="J9" r:id="rId1" display="mailto:info@tbi.co.za"/>
    <hyperlink ref="K9" r:id="rId2"/>
    <hyperlink ref="J2" r:id="rId3" display="mailto:info@act.is"/>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Z9"/>
  <sheetViews>
    <sheetView zoomScale="70" zoomScaleNormal="70" workbookViewId="0">
      <pane xSplit="1" ySplit="1" topLeftCell="B8" activePane="bottomRight" state="frozen"/>
      <selection pane="topRight" activeCell="B1" sqref="B1"/>
      <selection pane="bottomLeft" activeCell="A2" sqref="A2"/>
      <selection pane="bottomRight" activeCell="C4" sqref="C4"/>
    </sheetView>
  </sheetViews>
  <sheetFormatPr defaultColWidth="14.42578125" defaultRowHeight="15" x14ac:dyDescent="0.25"/>
  <cols>
    <col min="1" max="1" width="29" customWidth="1"/>
    <col min="2" max="3" width="25.42578125" customWidth="1"/>
    <col min="4" max="4" width="90" customWidth="1"/>
    <col min="5" max="5" width="27.28515625" customWidth="1"/>
    <col min="6" max="6" width="29.5703125" customWidth="1"/>
    <col min="7" max="7" width="24.7109375" customWidth="1"/>
    <col min="8" max="8" width="25.42578125" customWidth="1"/>
    <col min="9" max="9" width="24.85546875" customWidth="1"/>
    <col min="10" max="10" width="34.140625" customWidth="1"/>
    <col min="11" max="11" width="41.5703125" customWidth="1"/>
    <col min="12" max="12" width="24.5703125" customWidth="1"/>
    <col min="13" max="26" width="8.85546875" customWidth="1"/>
  </cols>
  <sheetData>
    <row r="1" spans="1:26" s="12" customFormat="1" ht="36.75" customHeight="1" x14ac:dyDescent="0.2">
      <c r="A1" s="54" t="s">
        <v>0</v>
      </c>
      <c r="B1" s="54" t="s">
        <v>1</v>
      </c>
      <c r="C1" s="54" t="s">
        <v>247</v>
      </c>
      <c r="D1" s="54" t="s">
        <v>249</v>
      </c>
      <c r="E1" s="54" t="s">
        <v>305</v>
      </c>
      <c r="F1" s="54" t="s">
        <v>271</v>
      </c>
      <c r="G1" s="54" t="s">
        <v>390</v>
      </c>
      <c r="H1" s="54" t="s">
        <v>2</v>
      </c>
      <c r="I1" s="54" t="s">
        <v>3</v>
      </c>
      <c r="J1" s="54" t="s">
        <v>4</v>
      </c>
      <c r="K1" s="54" t="s">
        <v>5</v>
      </c>
      <c r="L1" s="54" t="s">
        <v>191</v>
      </c>
      <c r="M1" s="3"/>
      <c r="N1" s="3"/>
      <c r="O1" s="3"/>
      <c r="P1" s="3"/>
      <c r="Q1" s="3"/>
      <c r="R1" s="3"/>
      <c r="S1" s="3"/>
      <c r="T1" s="3"/>
      <c r="U1" s="3"/>
      <c r="V1" s="3"/>
      <c r="W1" s="3"/>
      <c r="X1" s="3"/>
      <c r="Y1" s="3"/>
      <c r="Z1" s="3"/>
    </row>
    <row r="2" spans="1:26" s="12" customFormat="1" ht="137.25" customHeight="1" x14ac:dyDescent="0.2">
      <c r="A2" s="32" t="s">
        <v>126</v>
      </c>
      <c r="B2" s="32" t="s">
        <v>127</v>
      </c>
      <c r="C2" s="32" t="s">
        <v>307</v>
      </c>
      <c r="D2" s="5" t="s">
        <v>447</v>
      </c>
      <c r="E2" s="5" t="s">
        <v>295</v>
      </c>
      <c r="F2" s="5" t="s">
        <v>18</v>
      </c>
      <c r="G2" s="10" t="s">
        <v>295</v>
      </c>
      <c r="H2" s="5" t="s">
        <v>366</v>
      </c>
      <c r="I2" s="46" t="s">
        <v>367</v>
      </c>
      <c r="J2" s="6" t="str">
        <f>HYPERLINK("mailto:Tsakane.Bok@formin.fi","Tsakane.Bok@formin.fi")</f>
        <v>Tsakane.Bok@formin.fi</v>
      </c>
      <c r="K2" s="59" t="str">
        <f>HYPERLINK("http://www.finland.org.za/public/default.aspx?nodeid=40025&amp;contentlan=2&amp;culture=en-US","www.finland.org.za")</f>
        <v>www.finland.org.za</v>
      </c>
      <c r="L2" s="5"/>
      <c r="M2" s="3"/>
      <c r="N2" s="3"/>
      <c r="O2" s="3"/>
      <c r="P2" s="3"/>
      <c r="Q2" s="3"/>
      <c r="R2" s="3"/>
      <c r="S2" s="3"/>
      <c r="T2" s="3"/>
      <c r="U2" s="3"/>
      <c r="V2" s="3"/>
      <c r="W2" s="3"/>
      <c r="X2" s="3"/>
      <c r="Y2" s="3"/>
      <c r="Z2" s="3"/>
    </row>
    <row r="3" spans="1:26" s="12" customFormat="1" ht="100.5" customHeight="1" x14ac:dyDescent="0.2">
      <c r="A3" s="32" t="s">
        <v>126</v>
      </c>
      <c r="B3" s="32" t="s">
        <v>128</v>
      </c>
      <c r="C3" s="32" t="s">
        <v>368</v>
      </c>
      <c r="D3" s="5" t="s">
        <v>384</v>
      </c>
      <c r="E3" s="5" t="s">
        <v>370</v>
      </c>
      <c r="F3" s="5" t="s">
        <v>286</v>
      </c>
      <c r="G3" s="10" t="s">
        <v>369</v>
      </c>
      <c r="H3" s="5" t="s">
        <v>129</v>
      </c>
      <c r="I3" s="5" t="s">
        <v>45</v>
      </c>
      <c r="J3" s="6" t="str">
        <f>HYPERLINK("mailto:joburg-office@fmo.nl","joburg-office@fmo.nl")</f>
        <v>joburg-office@fmo.nl</v>
      </c>
      <c r="K3" s="6" t="str">
        <f>HYPERLINK("https://www.fmo.nl/infrastructure-development-fund","https://www.fmo.nl")</f>
        <v>https://www.fmo.nl</v>
      </c>
      <c r="L3" s="5"/>
      <c r="M3" s="3"/>
      <c r="N3" s="3"/>
      <c r="O3" s="3"/>
      <c r="P3" s="3"/>
      <c r="Q3" s="3"/>
      <c r="R3" s="3"/>
      <c r="S3" s="3"/>
      <c r="T3" s="3"/>
      <c r="U3" s="3"/>
      <c r="V3" s="3"/>
      <c r="W3" s="3"/>
      <c r="X3" s="3"/>
      <c r="Y3" s="3"/>
      <c r="Z3" s="3"/>
    </row>
    <row r="4" spans="1:26" s="12" customFormat="1" ht="86.25" customHeight="1" x14ac:dyDescent="0.2">
      <c r="A4" s="32" t="s">
        <v>126</v>
      </c>
      <c r="B4" s="32" t="s">
        <v>336</v>
      </c>
      <c r="C4" s="32"/>
      <c r="D4" s="5" t="s">
        <v>386</v>
      </c>
      <c r="E4" s="5" t="s">
        <v>195</v>
      </c>
      <c r="F4" s="5" t="s">
        <v>287</v>
      </c>
      <c r="G4" s="10" t="s">
        <v>295</v>
      </c>
      <c r="H4" s="5" t="s">
        <v>130</v>
      </c>
      <c r="I4" s="5" t="s">
        <v>131</v>
      </c>
      <c r="J4" s="6" t="str">
        <f>HYPERLINK("mailto:afdjohannesbourg@afd.fr","afdjohannesbourg@afd.fr")</f>
        <v>afdjohannesbourg@afd.fr</v>
      </c>
      <c r="K4" s="59" t="str">
        <f>HYPERLINK("http://www.afd.fr/lang/en/home/pays/afrique/geo-afr/afrique-du-sud/AFD-AfriqueduSud","www.afd.fr")</f>
        <v>www.afd.fr</v>
      </c>
      <c r="L4" s="5"/>
      <c r="M4" s="3"/>
      <c r="N4" s="3"/>
      <c r="O4" s="3"/>
      <c r="P4" s="3"/>
      <c r="Q4" s="3"/>
      <c r="R4" s="3"/>
      <c r="S4" s="3"/>
      <c r="T4" s="3"/>
      <c r="U4" s="3"/>
      <c r="V4" s="3"/>
      <c r="W4" s="3"/>
      <c r="X4" s="3"/>
      <c r="Y4" s="3"/>
      <c r="Z4" s="3"/>
    </row>
    <row r="5" spans="1:26" s="12" customFormat="1" ht="108.75" customHeight="1" x14ac:dyDescent="0.2">
      <c r="A5" s="32" t="s">
        <v>126</v>
      </c>
      <c r="B5" s="32" t="s">
        <v>132</v>
      </c>
      <c r="C5" s="32" t="s">
        <v>371</v>
      </c>
      <c r="D5" s="5" t="s">
        <v>385</v>
      </c>
      <c r="E5" s="5" t="s">
        <v>195</v>
      </c>
      <c r="F5" s="5" t="s">
        <v>18</v>
      </c>
      <c r="G5" s="10" t="s">
        <v>295</v>
      </c>
      <c r="H5" s="5"/>
      <c r="I5" s="5"/>
      <c r="J5" s="6" t="str">
        <f>HYPERLINK("mailto:programmbuero@programmbuero-klima.de","programmbuero@programmbuero-klima.de")</f>
        <v>programmbuero@programmbuero-klima.de</v>
      </c>
      <c r="K5" s="59" t="str">
        <f>HYPERLINK("http://www.international-climate-initiative.com/en/about-the-iki/","www.international-climate-initiative.com")</f>
        <v>www.international-climate-initiative.com</v>
      </c>
      <c r="L5" s="5"/>
      <c r="M5" s="3"/>
      <c r="N5" s="3"/>
      <c r="O5" s="3"/>
      <c r="P5" s="3"/>
      <c r="Q5" s="3"/>
      <c r="R5" s="3"/>
      <c r="S5" s="3"/>
      <c r="T5" s="3"/>
      <c r="U5" s="3"/>
      <c r="V5" s="3"/>
      <c r="W5" s="3"/>
      <c r="X5" s="3"/>
      <c r="Y5" s="3"/>
      <c r="Z5" s="3"/>
    </row>
    <row r="6" spans="1:26" s="12" customFormat="1" ht="114.75" customHeight="1" x14ac:dyDescent="0.2">
      <c r="A6" s="32" t="s">
        <v>126</v>
      </c>
      <c r="B6" s="32" t="s">
        <v>133</v>
      </c>
      <c r="C6" s="32"/>
      <c r="D6" s="5" t="s">
        <v>406</v>
      </c>
      <c r="E6" s="5" t="s">
        <v>8</v>
      </c>
      <c r="F6" s="5" t="s">
        <v>259</v>
      </c>
      <c r="G6" s="1" t="s">
        <v>295</v>
      </c>
      <c r="H6" s="5" t="s">
        <v>114</v>
      </c>
      <c r="I6" s="5" t="s">
        <v>114</v>
      </c>
      <c r="J6" s="5" t="s">
        <v>114</v>
      </c>
      <c r="K6" s="6" t="str">
        <f>HYPERLINK("http://www.jbic.go.jp/en/finance","www.jbic.go.jp/en/finance")</f>
        <v>www.jbic.go.jp/en/finance</v>
      </c>
      <c r="L6" s="5"/>
      <c r="M6" s="3"/>
      <c r="N6" s="3"/>
      <c r="O6" s="3"/>
      <c r="P6" s="3"/>
      <c r="Q6" s="3"/>
      <c r="R6" s="3"/>
      <c r="S6" s="3"/>
      <c r="T6" s="3"/>
      <c r="U6" s="3"/>
      <c r="V6" s="3"/>
      <c r="W6" s="3"/>
      <c r="X6" s="3"/>
      <c r="Y6" s="3"/>
      <c r="Z6" s="3"/>
    </row>
    <row r="7" spans="1:26" s="12" customFormat="1" ht="101.25" customHeight="1" x14ac:dyDescent="0.2">
      <c r="A7" s="32" t="s">
        <v>126</v>
      </c>
      <c r="B7" s="32" t="s">
        <v>134</v>
      </c>
      <c r="C7" s="32"/>
      <c r="D7" s="5" t="s">
        <v>407</v>
      </c>
      <c r="E7" s="5" t="s">
        <v>195</v>
      </c>
      <c r="F7" s="5" t="s">
        <v>198</v>
      </c>
      <c r="G7" s="1" t="s">
        <v>295</v>
      </c>
      <c r="H7" s="5"/>
      <c r="I7" s="5" t="s">
        <v>135</v>
      </c>
      <c r="J7" s="6" t="str">
        <f>HYPERLINK("mailto:Kanto.Yuko@jica.go.jp","Kanto.Yuko@jica.go.jp")</f>
        <v>Kanto.Yuko@jica.go.jp</v>
      </c>
      <c r="K7" s="6" t="str">
        <f>HYPERLINK("http://www.jica.go.jp/english/","www.jica.go.jp/english/")</f>
        <v>www.jica.go.jp/english/</v>
      </c>
      <c r="L7" s="5" t="s">
        <v>337</v>
      </c>
      <c r="M7" s="3"/>
      <c r="N7" s="3"/>
      <c r="O7" s="3"/>
      <c r="P7" s="3"/>
      <c r="Q7" s="3"/>
      <c r="R7" s="3"/>
      <c r="S7" s="3"/>
      <c r="T7" s="3"/>
      <c r="U7" s="3"/>
      <c r="V7" s="3"/>
      <c r="W7" s="3"/>
      <c r="X7" s="3"/>
      <c r="Y7" s="3"/>
      <c r="Z7" s="3"/>
    </row>
    <row r="8" spans="1:26" s="12" customFormat="1" ht="51.75" customHeight="1" x14ac:dyDescent="0.2">
      <c r="A8" s="32" t="s">
        <v>126</v>
      </c>
      <c r="B8" s="32" t="s">
        <v>136</v>
      </c>
      <c r="C8" s="32"/>
      <c r="D8" s="5" t="s">
        <v>372</v>
      </c>
      <c r="E8" s="5" t="s">
        <v>296</v>
      </c>
      <c r="F8" s="5" t="s">
        <v>20</v>
      </c>
      <c r="G8" s="1" t="s">
        <v>295</v>
      </c>
      <c r="H8" s="5" t="s">
        <v>130</v>
      </c>
      <c r="I8" s="5" t="s">
        <v>131</v>
      </c>
      <c r="J8" s="6" t="str">
        <f>HYPERLINK("mailto:afdjohannesbourg@afd.fr","afdjohannesbourg@afd.fr")</f>
        <v>afdjohannesbourg@afd.fr</v>
      </c>
      <c r="K8" s="28" t="str">
        <f>HYPERLINK("http://www.afd.fr/lang/en/home/pays/afrique/geo-afr/afrique-du-sud/AFD-AfriqueduSud","www.afd.fr/")</f>
        <v>www.afd.fr/</v>
      </c>
      <c r="L8" s="5"/>
      <c r="M8" s="3"/>
      <c r="N8" s="3"/>
      <c r="O8" s="3"/>
      <c r="P8" s="3"/>
      <c r="Q8" s="3"/>
      <c r="R8" s="3"/>
      <c r="S8" s="3"/>
      <c r="T8" s="3"/>
      <c r="U8" s="3"/>
      <c r="V8" s="3"/>
      <c r="W8" s="3"/>
      <c r="X8" s="3"/>
      <c r="Y8" s="3"/>
      <c r="Z8" s="3"/>
    </row>
    <row r="9" spans="1:26" s="12" customFormat="1" ht="66.75" customHeight="1" x14ac:dyDescent="0.2">
      <c r="A9" s="32" t="s">
        <v>126</v>
      </c>
      <c r="B9" s="32" t="s">
        <v>137</v>
      </c>
      <c r="C9" s="32" t="s">
        <v>373</v>
      </c>
      <c r="D9" s="5" t="s">
        <v>374</v>
      </c>
      <c r="E9" s="5" t="s">
        <v>8</v>
      </c>
      <c r="F9" s="5" t="s">
        <v>18</v>
      </c>
      <c r="G9" s="1" t="s">
        <v>295</v>
      </c>
      <c r="H9" s="5" t="s">
        <v>138</v>
      </c>
      <c r="I9" s="5" t="s">
        <v>139</v>
      </c>
      <c r="J9" s="6" t="str">
        <f>HYPERLINK("mailto:vannessa.westcott@fco.gov.uk"," Vannessa.Westcott@fco.gov.uk")</f>
        <v> Vannessa.Westcott@fco.gov.uk</v>
      </c>
      <c r="K9" s="28" t="str">
        <f>HYPERLINK("http://www.gov.uk/prosperity-fund-programme#programme","www.gov.uk/")</f>
        <v>www.gov.uk/</v>
      </c>
      <c r="L9" s="5"/>
      <c r="M9" s="3"/>
      <c r="N9" s="3"/>
      <c r="O9" s="3"/>
      <c r="P9" s="3"/>
      <c r="Q9" s="3"/>
      <c r="R9" s="3"/>
      <c r="S9" s="3"/>
      <c r="T9" s="3"/>
      <c r="U9" s="3"/>
      <c r="V9" s="3"/>
      <c r="W9" s="3"/>
      <c r="X9" s="3"/>
      <c r="Y9" s="3"/>
      <c r="Z9" s="3"/>
    </row>
  </sheetData>
  <autoFilter ref="A1:L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showGridLines="0" zoomScale="80" zoomScaleNormal="80" workbookViewId="0">
      <pane xSplit="2" ySplit="1" topLeftCell="C2" activePane="bottomRight" state="frozen"/>
      <selection pane="topRight" activeCell="C1" sqref="C1"/>
      <selection pane="bottomLeft" activeCell="A2" sqref="A2"/>
      <selection pane="bottomRight" activeCell="A2" sqref="A2"/>
    </sheetView>
  </sheetViews>
  <sheetFormatPr defaultRowHeight="15" x14ac:dyDescent="0.25"/>
  <cols>
    <col min="1" max="1" width="27.28515625" customWidth="1"/>
    <col min="2" max="2" width="23.85546875" customWidth="1"/>
    <col min="3" max="3" width="21.5703125" customWidth="1"/>
    <col min="4" max="4" width="84" customWidth="1"/>
    <col min="5" max="5" width="20.7109375" customWidth="1"/>
    <col min="6" max="6" width="25.28515625" customWidth="1"/>
    <col min="7" max="7" width="24.42578125" customWidth="1"/>
    <col min="8" max="8" width="24" customWidth="1"/>
    <col min="9" max="9" width="23.42578125" bestFit="1" customWidth="1"/>
    <col min="10" max="10" width="25.85546875" customWidth="1"/>
    <col min="11" max="11" width="31.28515625" customWidth="1"/>
    <col min="12" max="12" width="15.85546875" customWidth="1"/>
  </cols>
  <sheetData>
    <row r="1" spans="1:26" s="12" customFormat="1" ht="36.75" customHeight="1" x14ac:dyDescent="0.2">
      <c r="A1" s="54" t="s">
        <v>0</v>
      </c>
      <c r="B1" s="54" t="s">
        <v>1</v>
      </c>
      <c r="C1" s="54" t="s">
        <v>247</v>
      </c>
      <c r="D1" s="54" t="s">
        <v>249</v>
      </c>
      <c r="E1" s="54" t="s">
        <v>305</v>
      </c>
      <c r="F1" s="54" t="s">
        <v>271</v>
      </c>
      <c r="G1" s="54" t="s">
        <v>390</v>
      </c>
      <c r="H1" s="54" t="s">
        <v>2</v>
      </c>
      <c r="I1" s="54" t="s">
        <v>3</v>
      </c>
      <c r="J1" s="54" t="s">
        <v>4</v>
      </c>
      <c r="K1" s="54" t="s">
        <v>5</v>
      </c>
      <c r="L1" s="54" t="s">
        <v>191</v>
      </c>
      <c r="M1" s="3"/>
      <c r="N1" s="3"/>
      <c r="O1" s="3"/>
      <c r="P1" s="3"/>
      <c r="Q1" s="3"/>
      <c r="R1" s="3"/>
      <c r="S1" s="3"/>
      <c r="T1" s="3"/>
      <c r="U1" s="3"/>
      <c r="V1" s="3"/>
      <c r="W1" s="3"/>
      <c r="X1" s="3"/>
      <c r="Y1" s="3"/>
      <c r="Z1" s="3"/>
    </row>
    <row r="2" spans="1:26" ht="144" customHeight="1" x14ac:dyDescent="0.25">
      <c r="A2" s="32" t="s">
        <v>140</v>
      </c>
      <c r="B2" s="32" t="s">
        <v>141</v>
      </c>
      <c r="C2" s="32" t="s">
        <v>454</v>
      </c>
      <c r="D2" s="55" t="s">
        <v>480</v>
      </c>
      <c r="E2" s="5" t="s">
        <v>335</v>
      </c>
      <c r="F2" s="5" t="s">
        <v>20</v>
      </c>
      <c r="G2" s="10" t="s">
        <v>295</v>
      </c>
      <c r="H2" s="5"/>
      <c r="I2" s="5"/>
      <c r="J2" s="5"/>
      <c r="K2" s="64" t="str">
        <f>HYPERLINK("http://www.4dicapital.com/","www.4dicapital.com/")</f>
        <v>www.4dicapital.com/</v>
      </c>
      <c r="L2" s="5"/>
      <c r="M2" s="44"/>
    </row>
    <row r="3" spans="1:26" ht="110.25" customHeight="1" x14ac:dyDescent="0.25">
      <c r="A3" s="32" t="s">
        <v>140</v>
      </c>
      <c r="B3" s="32" t="s">
        <v>141</v>
      </c>
      <c r="C3" s="32" t="s">
        <v>455</v>
      </c>
      <c r="D3" s="55" t="s">
        <v>481</v>
      </c>
      <c r="E3" s="5" t="s">
        <v>335</v>
      </c>
      <c r="F3" s="5" t="s">
        <v>20</v>
      </c>
      <c r="G3" s="10" t="s">
        <v>295</v>
      </c>
      <c r="H3" s="5"/>
      <c r="I3" s="5"/>
      <c r="J3" s="5"/>
      <c r="K3" s="64" t="str">
        <f>HYPERLINK("http://www.4dicapital.com/","www.4dicapital.com/")</f>
        <v>www.4dicapital.com/</v>
      </c>
      <c r="L3" s="5"/>
      <c r="M3" s="44"/>
    </row>
    <row r="4" spans="1:26" ht="140.25" customHeight="1" x14ac:dyDescent="0.25">
      <c r="A4" s="32" t="s">
        <v>140</v>
      </c>
      <c r="B4" s="32" t="s">
        <v>142</v>
      </c>
      <c r="C4" s="32" t="s">
        <v>456</v>
      </c>
      <c r="D4" s="55" t="s">
        <v>486</v>
      </c>
      <c r="E4" s="5" t="s">
        <v>335</v>
      </c>
      <c r="F4" s="5" t="s">
        <v>20</v>
      </c>
      <c r="G4" s="10" t="s">
        <v>387</v>
      </c>
      <c r="H4" s="5" t="s">
        <v>143</v>
      </c>
      <c r="I4" s="5"/>
      <c r="J4" s="6" t="str">
        <f>HYPERLINK("mailto:info@angelhub.co.za.","info@angelhub.co.za")</f>
        <v>info@angelhub.co.za</v>
      </c>
      <c r="K4" s="64" t="str">
        <f>HYPERLINK("http://www.angelhub.co.za/","www.angelhub.co.za")</f>
        <v>www.angelhub.co.za</v>
      </c>
      <c r="L4" s="5"/>
      <c r="M4" s="44"/>
    </row>
    <row r="5" spans="1:26" ht="96" customHeight="1" x14ac:dyDescent="0.25">
      <c r="A5" s="32" t="s">
        <v>140</v>
      </c>
      <c r="B5" s="32" t="s">
        <v>144</v>
      </c>
      <c r="C5" s="32"/>
      <c r="D5" s="55" t="s">
        <v>482</v>
      </c>
      <c r="E5" s="5" t="s">
        <v>195</v>
      </c>
      <c r="F5" s="5" t="s">
        <v>259</v>
      </c>
      <c r="G5" s="10" t="s">
        <v>388</v>
      </c>
      <c r="H5" s="5" t="s">
        <v>145</v>
      </c>
      <c r="I5" s="5" t="s">
        <v>146</v>
      </c>
      <c r="J5" s="6" t="str">
        <f>HYPERLINK("mailto:RRose@edgegrowth.com","RRose@edgegrowth.com")</f>
        <v>RRose@edgegrowth.com</v>
      </c>
      <c r="K5" s="64" t="str">
        <f>HYPERLINK("http://www.edgegrowth.com/","www.edgegrowth.com")</f>
        <v>www.edgegrowth.com</v>
      </c>
      <c r="L5" s="5"/>
      <c r="M5" s="44"/>
    </row>
    <row r="6" spans="1:26" ht="153.75" customHeight="1" x14ac:dyDescent="0.25">
      <c r="A6" s="32" t="s">
        <v>140</v>
      </c>
      <c r="B6" s="32" t="s">
        <v>190</v>
      </c>
      <c r="C6" s="32" t="s">
        <v>489</v>
      </c>
      <c r="D6" s="55" t="s">
        <v>490</v>
      </c>
      <c r="E6" s="1" t="s">
        <v>370</v>
      </c>
      <c r="F6" s="5" t="s">
        <v>20</v>
      </c>
      <c r="G6" s="10"/>
      <c r="H6" s="5"/>
      <c r="I6" s="57" t="s">
        <v>408</v>
      </c>
      <c r="J6" s="28" t="str">
        <f>HYPERLINK("berg@goodwell.nl.","berg@goodwell.nl.")</f>
        <v>berg@goodwell.nl.</v>
      </c>
      <c r="K6" s="63" t="str">
        <f>HYPERLINK("https://www.goodwell.nl/about/","https://www.goodwell.nl")</f>
        <v>https://www.goodwell.nl</v>
      </c>
      <c r="L6" s="5"/>
      <c r="M6" s="44"/>
    </row>
    <row r="7" spans="1:26" ht="89.25" customHeight="1" x14ac:dyDescent="0.25">
      <c r="A7" s="32" t="s">
        <v>140</v>
      </c>
      <c r="B7" s="32" t="s">
        <v>147</v>
      </c>
      <c r="C7" s="32"/>
      <c r="D7" s="55" t="s">
        <v>488</v>
      </c>
      <c r="E7" s="5" t="s">
        <v>335</v>
      </c>
      <c r="F7" s="5" t="s">
        <v>20</v>
      </c>
      <c r="G7" s="10" t="s">
        <v>295</v>
      </c>
      <c r="H7" s="5"/>
      <c r="I7" s="57" t="s">
        <v>487</v>
      </c>
      <c r="J7" s="6" t="str">
        <f>HYPERLINK("mailto:info@hp-ventures.com","info@hp-ventures.com")</f>
        <v>info@hp-ventures.com</v>
      </c>
      <c r="K7" s="63" t="str">
        <f>HYPERLINK("http://www.hp-ventures.co.za/","www.hp-ventures.co.za")</f>
        <v>www.hp-ventures.co.za</v>
      </c>
      <c r="L7" s="5"/>
      <c r="M7" s="44"/>
    </row>
    <row r="8" spans="1:26" ht="67.5" customHeight="1" x14ac:dyDescent="0.25">
      <c r="A8" s="32" t="s">
        <v>140</v>
      </c>
      <c r="B8" s="32" t="s">
        <v>148</v>
      </c>
      <c r="C8" s="32"/>
      <c r="D8" s="55" t="s">
        <v>149</v>
      </c>
      <c r="E8" s="5" t="s">
        <v>8</v>
      </c>
      <c r="F8" s="5" t="s">
        <v>20</v>
      </c>
      <c r="G8" s="10"/>
      <c r="H8" s="5"/>
      <c r="I8" s="5" t="s">
        <v>150</v>
      </c>
      <c r="J8" s="5"/>
      <c r="K8" s="63" t="str">
        <f>HYPERLINK("http://www.privco.com/investors/venture-capital/triumph-venture-capital-pty-ltd","www.privco.com")</f>
        <v>www.privco.com</v>
      </c>
      <c r="L8" s="5"/>
      <c r="M8" s="44"/>
    </row>
    <row r="9" spans="1:26" ht="72" customHeight="1" x14ac:dyDescent="0.25">
      <c r="A9" s="32" t="s">
        <v>140</v>
      </c>
      <c r="B9" s="32" t="s">
        <v>189</v>
      </c>
      <c r="C9" s="32" t="s">
        <v>298</v>
      </c>
      <c r="D9" s="55" t="s">
        <v>297</v>
      </c>
      <c r="E9" s="5" t="s">
        <v>296</v>
      </c>
      <c r="F9" s="5" t="s">
        <v>20</v>
      </c>
      <c r="G9" s="10"/>
      <c r="H9" s="5"/>
      <c r="I9" s="5"/>
      <c r="J9" s="58"/>
      <c r="K9" s="63" t="str">
        <f>HYPERLINK("https://vilcap.com/geography/sub-saharan-africa/","https://vilcap.com")</f>
        <v>https://vilcap.com</v>
      </c>
      <c r="L9" s="5" t="s">
        <v>299</v>
      </c>
      <c r="M9" s="44"/>
    </row>
    <row r="10" spans="1:26" ht="75" x14ac:dyDescent="0.25">
      <c r="A10" s="32" t="s">
        <v>140</v>
      </c>
      <c r="B10" s="32" t="s">
        <v>75</v>
      </c>
      <c r="C10" s="32" t="s">
        <v>491</v>
      </c>
      <c r="D10" s="104" t="s">
        <v>492</v>
      </c>
      <c r="E10" s="67"/>
      <c r="F10" s="67"/>
      <c r="G10" s="67"/>
      <c r="H10" s="67"/>
      <c r="I10" s="67"/>
      <c r="J10" s="72" t="str">
        <f>HYPERLINK("craigs@idc.co.za","craigs@idc.co.za")</f>
        <v>craigs@idc.co.za</v>
      </c>
      <c r="K10" s="105" t="str">
        <f>HYPERLINK("http://www.investmentincentives.co.za/concept-and-rd/technology-venture-capital-fund","http://www.investmentincentives.co.za/")</f>
        <v>http://www.investmentincentives.co.za/</v>
      </c>
      <c r="L10" s="67"/>
    </row>
  </sheetData>
  <autoFilter ref="A1:L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abSelected="1" zoomScale="80" zoomScaleNormal="80" workbookViewId="0">
      <pane xSplit="1" ySplit="1" topLeftCell="B2" activePane="bottomRight" state="frozen"/>
      <selection pane="topRight" activeCell="B1" sqref="B1"/>
      <selection pane="bottomLeft" activeCell="A2" sqref="A2"/>
      <selection pane="bottomRight" activeCell="B3" sqref="B3"/>
    </sheetView>
  </sheetViews>
  <sheetFormatPr defaultRowHeight="15" x14ac:dyDescent="0.25"/>
  <cols>
    <col min="1" max="1" width="27.28515625" customWidth="1"/>
    <col min="2" max="2" width="31.42578125" customWidth="1"/>
    <col min="3" max="3" width="32.7109375" customWidth="1"/>
    <col min="4" max="4" width="96.140625" customWidth="1"/>
    <col min="5" max="5" width="22.5703125" customWidth="1"/>
    <col min="6" max="6" width="25.28515625" customWidth="1"/>
    <col min="7" max="7" width="28" customWidth="1"/>
    <col min="8" max="8" width="24.5703125" customWidth="1"/>
    <col min="9" max="9" width="21.7109375" customWidth="1"/>
    <col min="10" max="10" width="25.85546875" customWidth="1"/>
    <col min="11" max="11" width="36.85546875" customWidth="1"/>
    <col min="12" max="12" width="24.42578125" customWidth="1"/>
  </cols>
  <sheetData>
    <row r="1" spans="1:26" s="12" customFormat="1" ht="36.75" customHeight="1" x14ac:dyDescent="0.2">
      <c r="A1" s="54" t="s">
        <v>0</v>
      </c>
      <c r="B1" s="54" t="s">
        <v>1</v>
      </c>
      <c r="C1" s="54" t="s">
        <v>247</v>
      </c>
      <c r="D1" s="54" t="s">
        <v>249</v>
      </c>
      <c r="E1" s="54" t="s">
        <v>305</v>
      </c>
      <c r="F1" s="54" t="s">
        <v>271</v>
      </c>
      <c r="G1" s="54" t="s">
        <v>390</v>
      </c>
      <c r="H1" s="54" t="s">
        <v>2</v>
      </c>
      <c r="I1" s="54" t="s">
        <v>3</v>
      </c>
      <c r="J1" s="54" t="s">
        <v>4</v>
      </c>
      <c r="K1" s="54" t="s">
        <v>5</v>
      </c>
      <c r="L1" s="54" t="s">
        <v>191</v>
      </c>
      <c r="M1" s="3"/>
      <c r="N1" s="3"/>
      <c r="O1" s="3"/>
      <c r="P1" s="3"/>
      <c r="Q1" s="3"/>
      <c r="R1" s="3"/>
      <c r="S1" s="3"/>
      <c r="T1" s="3"/>
      <c r="U1" s="3"/>
      <c r="V1" s="3"/>
      <c r="W1" s="3"/>
      <c r="X1" s="3"/>
      <c r="Y1" s="3"/>
      <c r="Z1" s="3"/>
    </row>
    <row r="2" spans="1:26" ht="125.25" customHeight="1" x14ac:dyDescent="0.25">
      <c r="A2" s="32" t="s">
        <v>430</v>
      </c>
      <c r="B2" s="83" t="s">
        <v>425</v>
      </c>
      <c r="C2" s="32" t="s">
        <v>426</v>
      </c>
      <c r="D2" s="69" t="s">
        <v>453</v>
      </c>
      <c r="E2" s="70" t="s">
        <v>335</v>
      </c>
      <c r="F2" s="70" t="s">
        <v>412</v>
      </c>
      <c r="G2" s="70" t="s">
        <v>427</v>
      </c>
      <c r="H2" s="70" t="s">
        <v>428</v>
      </c>
      <c r="I2" s="71" t="s">
        <v>429</v>
      </c>
      <c r="J2" s="67"/>
      <c r="K2" s="72" t="str">
        <f>HYPERLINK("https://southafrica.angloamerican.com/our-difference/zimele","https://southafrica.angloamerican.com/")</f>
        <v>https://southafrica.angloamerican.com/</v>
      </c>
      <c r="L2" s="67"/>
    </row>
    <row r="3" spans="1:26" ht="94.5" customHeight="1" x14ac:dyDescent="0.25">
      <c r="A3" s="84" t="s">
        <v>430</v>
      </c>
      <c r="B3" s="85" t="s">
        <v>75</v>
      </c>
      <c r="C3" s="87" t="s">
        <v>441</v>
      </c>
      <c r="D3" s="91" t="s">
        <v>483</v>
      </c>
      <c r="E3" s="70" t="s">
        <v>335</v>
      </c>
      <c r="F3" s="67"/>
      <c r="G3" s="67"/>
      <c r="H3" s="67"/>
      <c r="I3" s="82" t="s">
        <v>440</v>
      </c>
      <c r="J3" s="72" t="str">
        <f>HYPERLINK("helpline@khula.org.za","helpline@khula.org.za")</f>
        <v>helpline@khula.org.za</v>
      </c>
      <c r="K3" s="72" t="str">
        <f>HYPERLINK("www.khula.org.za","www.khula.org.za")</f>
        <v>www.khula.org.za</v>
      </c>
      <c r="L3" s="67"/>
    </row>
    <row r="4" spans="1:26" ht="69.75" customHeight="1" x14ac:dyDescent="0.25">
      <c r="A4" s="32" t="s">
        <v>430</v>
      </c>
      <c r="B4" s="5" t="s">
        <v>446</v>
      </c>
      <c r="C4" s="83" t="s">
        <v>442</v>
      </c>
      <c r="D4" s="55" t="s">
        <v>484</v>
      </c>
      <c r="E4" s="70" t="s">
        <v>335</v>
      </c>
      <c r="F4" s="58" t="s">
        <v>412</v>
      </c>
      <c r="G4" s="70" t="s">
        <v>443</v>
      </c>
      <c r="H4" s="70"/>
      <c r="I4" s="71" t="s">
        <v>444</v>
      </c>
      <c r="J4" s="86" t="str">
        <f>HYPERLINK("info@sisonkefund.co.za","info@sisonkefund.co.za")</f>
        <v>info@sisonkefund.co.za</v>
      </c>
      <c r="K4" s="67"/>
      <c r="L4" s="67"/>
    </row>
    <row r="5" spans="1:26" ht="62.25" customHeight="1" x14ac:dyDescent="0.25">
      <c r="A5" s="32" t="s">
        <v>430</v>
      </c>
      <c r="B5" s="5" t="s">
        <v>445</v>
      </c>
      <c r="C5" s="83" t="s">
        <v>448</v>
      </c>
      <c r="D5" s="91" t="s">
        <v>485</v>
      </c>
      <c r="E5" s="88" t="s">
        <v>213</v>
      </c>
      <c r="F5" s="58" t="s">
        <v>259</v>
      </c>
      <c r="G5" s="67"/>
      <c r="H5" s="67"/>
      <c r="I5" s="67"/>
      <c r="J5" s="67"/>
      <c r="K5" s="67"/>
      <c r="L5"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Government Dept.</vt:lpstr>
      <vt:lpstr>Development Finance Inst.</vt:lpstr>
      <vt:lpstr>Commercial banks</vt:lpstr>
      <vt:lpstr>Private Equity</vt:lpstr>
      <vt:lpstr>Sovereign Fund</vt:lpstr>
      <vt:lpstr>Venture Capital</vt:lpstr>
      <vt:lpstr>Enterprise Development Pr.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c:creator>
  <cp:lastModifiedBy>Admin</cp:lastModifiedBy>
  <dcterms:created xsi:type="dcterms:W3CDTF">2019-01-24T12:33:45Z</dcterms:created>
  <dcterms:modified xsi:type="dcterms:W3CDTF">2020-03-30T13:40:07Z</dcterms:modified>
</cp:coreProperties>
</file>